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10EC2A5D-0C1E-4795-95E3-2CE7A4DC3A28}" xr6:coauthVersionLast="45" xr6:coauthVersionMax="45" xr10:uidLastSave="{00000000-0000-0000-0000-000000000000}"/>
  <bookViews>
    <workbookView xWindow="-110" yWindow="-110" windowWidth="19420" windowHeight="10420" tabRatio="607" activeTab="3"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burning'!$A$1:$A$3962</definedName>
    <definedName name="_xlnm._FilterDatabase" localSheetId="5" hidden="1">'Fire Policy'!$A$1:$A$775</definedName>
    <definedName name="_xlnm._FilterDatabase" localSheetId="4" hidden="1">'Fire suppression'!$A$1:$A$703</definedName>
    <definedName name="_xlnm._FilterDatabase" localSheetId="1" hidden="1">'Land use'!$A$1:$A$1219</definedName>
    <definedName name="_xlnm._FilterDatabase" localSheetId="0" hidden="1">'Record info'!$A$1:$A$1219</definedName>
    <definedName name="_xlnm._FilterDatabase" localSheetId="2" hidden="1">'Reported burning'!$A$1:$A$2911</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148" i="3" l="1"/>
  <c r="X3147" i="3"/>
  <c r="X3146" i="3"/>
  <c r="X3145" i="3"/>
  <c r="X3144" i="3"/>
  <c r="X3143" i="3"/>
  <c r="X3141" i="3"/>
  <c r="H1030"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J3128" i="3"/>
  <c r="J3127" i="3"/>
  <c r="J3125" i="3"/>
  <c r="V3122" i="3"/>
  <c r="X3122" i="3" s="1"/>
  <c r="V3121" i="3"/>
  <c r="X3121" i="3" s="1"/>
  <c r="V3124" i="3"/>
  <c r="X3124" i="3" s="1"/>
  <c r="V3123" i="3"/>
  <c r="X3123" i="3" s="1"/>
  <c r="V3120" i="3"/>
  <c r="X3120" i="3" s="1"/>
  <c r="V3119" i="3"/>
  <c r="X3119" i="3" s="1"/>
  <c r="V3118" i="3"/>
  <c r="X3118" i="3" s="1"/>
  <c r="V3117" i="3"/>
  <c r="X3117" i="3" s="1"/>
  <c r="R1291" i="4"/>
  <c r="R1290" i="4"/>
  <c r="Q1289" i="4"/>
  <c r="R1289" i="4"/>
  <c r="R1288" i="4"/>
  <c r="N1293" i="2"/>
  <c r="N1292" i="2"/>
  <c r="K1293" i="2"/>
  <c r="K1292" i="2"/>
  <c r="J3126" i="3" s="1"/>
  <c r="J1293" i="2"/>
  <c r="J1292" i="2"/>
  <c r="I1293" i="2"/>
  <c r="I1292" i="2"/>
  <c r="K1287" i="2"/>
  <c r="K1283" i="2"/>
  <c r="P3062" i="3"/>
  <c r="P3061" i="3"/>
  <c r="P3060" i="3"/>
  <c r="P3059" i="3"/>
  <c r="J3062" i="3"/>
  <c r="J3061" i="3"/>
  <c r="J3060" i="3"/>
  <c r="J3059" i="3"/>
  <c r="K1281" i="2"/>
  <c r="K1280" i="2"/>
  <c r="K1279" i="2"/>
  <c r="K1278" i="2"/>
  <c r="X3054" i="3"/>
  <c r="X3053" i="3"/>
  <c r="X3052" i="3"/>
  <c r="X3051" i="3"/>
  <c r="X3050" i="3"/>
  <c r="X3049" i="3"/>
  <c r="X3048" i="3"/>
  <c r="K1277" i="2"/>
  <c r="K1276" i="2"/>
  <c r="K1275" i="2"/>
  <c r="K1274" i="2"/>
  <c r="K1273" i="2"/>
  <c r="K1272" i="2"/>
  <c r="K1271" i="2"/>
  <c r="X3039" i="3"/>
  <c r="P3039" i="3"/>
  <c r="J2994" i="3"/>
  <c r="J2993" i="3"/>
  <c r="J2992" i="3"/>
  <c r="J2991" i="3"/>
  <c r="R1266" i="4"/>
  <c r="K1266" i="2"/>
  <c r="K1265" i="2"/>
  <c r="R1265" i="4" s="1"/>
  <c r="K1264" i="2"/>
  <c r="R1264" i="4" s="1"/>
  <c r="K1263" i="2"/>
  <c r="R1263" i="4" s="1"/>
  <c r="K1262" i="2" l="1"/>
  <c r="J1262" i="2"/>
  <c r="I1262" i="2"/>
  <c r="J1261" i="2"/>
  <c r="I1261" i="2"/>
  <c r="O1258" i="4"/>
  <c r="H1258" i="4"/>
  <c r="I1257" i="4"/>
  <c r="I1255" i="4"/>
  <c r="K1255" i="2" s="1"/>
  <c r="K1250" i="2"/>
  <c r="K1251" i="2"/>
  <c r="P1249" i="4"/>
  <c r="K1249" i="2"/>
  <c r="N1249" i="2" s="1"/>
  <c r="J2958" i="3"/>
  <c r="X2955" i="3"/>
  <c r="X2953" i="3"/>
  <c r="X2954" i="3"/>
  <c r="X2952" i="3"/>
  <c r="R1240" i="4"/>
  <c r="R1241" i="4"/>
  <c r="Q1239" i="4"/>
  <c r="R1239" i="4" s="1"/>
  <c r="Q1240" i="4"/>
  <c r="Q1241" i="4"/>
  <c r="Q1242" i="4"/>
  <c r="R1242" i="4" s="1"/>
  <c r="Q1238" i="4"/>
  <c r="R1238" i="4" s="1"/>
  <c r="R1234" i="4"/>
  <c r="R1235" i="4"/>
  <c r="R1236" i="4"/>
  <c r="R1237" i="4"/>
  <c r="R1233" i="4"/>
  <c r="J1232" i="2"/>
  <c r="I1232" i="2"/>
  <c r="H1231" i="4"/>
  <c r="H1230" i="4"/>
  <c r="H1229" i="4"/>
  <c r="H1228" i="4"/>
  <c r="H1227" i="4"/>
  <c r="H1226" i="4"/>
  <c r="H1225" i="4"/>
  <c r="H1224"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1" i="2"/>
  <c r="J1230" i="2"/>
  <c r="J1229" i="2"/>
  <c r="J1228" i="2"/>
  <c r="J1227" i="2"/>
  <c r="J1226" i="2"/>
  <c r="J1225" i="2"/>
  <c r="I1231" i="2"/>
  <c r="I1230" i="2"/>
  <c r="I1229" i="2"/>
  <c r="I1228" i="2"/>
  <c r="I1227" i="2"/>
  <c r="I1226" i="2"/>
  <c r="I1225" i="2"/>
  <c r="J1224" i="2"/>
  <c r="I1224" i="2"/>
  <c r="J1221" i="2"/>
  <c r="I1221" i="2"/>
  <c r="A2913" i="10" l="1"/>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U2388" i="3" l="1"/>
  <c r="U2387" i="3"/>
  <c r="U2386" i="3"/>
  <c r="U2385" i="3"/>
  <c r="U2383" i="3"/>
  <c r="U2384" i="3"/>
  <c r="X2500" i="3" l="1"/>
  <c r="T2500" i="3"/>
  <c r="J2500" i="3" s="1"/>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J2473" i="3"/>
  <c r="J2471" i="3"/>
  <c r="J2469" i="3"/>
  <c r="J2467" i="3"/>
  <c r="X2463" i="3"/>
  <c r="P2463" i="3" s="1"/>
  <c r="J2463" i="3"/>
  <c r="J2464" i="3" s="1"/>
  <c r="Z2493" i="10" l="1"/>
  <c r="Z2494" i="10"/>
  <c r="Z2495" i="10"/>
  <c r="Z2496" i="10"/>
  <c r="X2493" i="10"/>
  <c r="Y2493" i="10"/>
  <c r="X2494" i="10"/>
  <c r="Y2494" i="10"/>
  <c r="X2495" i="10"/>
  <c r="Y2495" i="10"/>
  <c r="X2496" i="10"/>
  <c r="Y2496" i="10"/>
  <c r="A2496" i="10"/>
  <c r="B2496" i="10"/>
  <c r="C2496" i="10"/>
  <c r="D2496" i="10"/>
  <c r="E2496" i="10"/>
  <c r="F2496" i="10"/>
  <c r="G2496" i="10"/>
  <c r="H2496" i="10"/>
  <c r="E2495" i="10"/>
  <c r="E2492" i="10"/>
  <c r="A2493" i="10"/>
  <c r="B2493" i="10"/>
  <c r="C2493" i="10"/>
  <c r="D2493" i="10"/>
  <c r="E2493" i="10"/>
  <c r="F2493" i="10"/>
  <c r="G2493" i="10"/>
  <c r="H2493" i="10"/>
  <c r="T2495" i="3"/>
  <c r="P2495" i="3" s="1"/>
  <c r="T2494" i="3"/>
  <c r="P2494" i="3" s="1"/>
  <c r="T2491" i="3"/>
  <c r="P2491" i="3" s="1"/>
  <c r="T2492" i="3"/>
  <c r="P2492" i="3" s="1"/>
  <c r="R1054" i="4"/>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T2844" i="3"/>
  <c r="T2843" i="3"/>
  <c r="X2843" i="3" s="1"/>
  <c r="X2491" i="3" l="1"/>
  <c r="X2494" i="3"/>
  <c r="X2495" i="3"/>
  <c r="X2492" i="3"/>
  <c r="X2844" i="3"/>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38" i="10"/>
  <c r="D2838" i="10"/>
  <c r="E2838" i="10"/>
  <c r="F2838" i="10"/>
  <c r="G2838" i="10"/>
  <c r="H2838" i="10"/>
  <c r="A2838" i="10"/>
  <c r="B2838" i="10"/>
  <c r="A2836" i="10"/>
  <c r="B2836" i="10"/>
  <c r="C2836" i="10"/>
  <c r="D2836" i="10"/>
  <c r="E2836" i="10"/>
  <c r="F2836" i="10"/>
  <c r="G2836" i="10"/>
  <c r="H2836" i="10"/>
  <c r="A2837" i="10"/>
  <c r="B2837" i="10"/>
  <c r="C2837" i="10"/>
  <c r="D2837" i="10"/>
  <c r="E2837" i="10"/>
  <c r="F2837" i="10"/>
  <c r="G2837" i="10"/>
  <c r="H2837"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X2836" i="3"/>
  <c r="X2806" i="3"/>
  <c r="X2805" i="3"/>
  <c r="X2804" i="3"/>
  <c r="X2788" i="3"/>
  <c r="X2787" i="3"/>
  <c r="X2786" i="3"/>
  <c r="X2770" i="3"/>
  <c r="X2769" i="3"/>
  <c r="X2768" i="3"/>
  <c r="X2752" i="3"/>
  <c r="X2751" i="3"/>
  <c r="X2750" i="3"/>
  <c r="X2734" i="3"/>
  <c r="X2733" i="3"/>
  <c r="X2732" i="3"/>
  <c r="X2716" i="3"/>
  <c r="X2715" i="3"/>
  <c r="X2714" i="3"/>
  <c r="X2698" i="3"/>
  <c r="X2697" i="3"/>
  <c r="X2696" i="3"/>
  <c r="X2644" i="3"/>
  <c r="X2643" i="3"/>
  <c r="X2642" i="3"/>
  <c r="X2680" i="3"/>
  <c r="X2679" i="3"/>
  <c r="X2678" i="3"/>
  <c r="X2818" i="3"/>
  <c r="X2819" i="3"/>
  <c r="X2820" i="3"/>
  <c r="X2821" i="3"/>
  <c r="X2822" i="3"/>
  <c r="X2823" i="3"/>
  <c r="X2824" i="3"/>
  <c r="X2825" i="3"/>
  <c r="X2826" i="3"/>
  <c r="X2662" i="3"/>
  <c r="X2661" i="3"/>
  <c r="X2660" i="3"/>
  <c r="X2827" i="3"/>
  <c r="X2828" i="3"/>
  <c r="X2829" i="3"/>
  <c r="X2830" i="3"/>
  <c r="X2831" i="3"/>
  <c r="X2832" i="3"/>
  <c r="X2833" i="3"/>
  <c r="X2834" i="3"/>
  <c r="X2835" i="3"/>
  <c r="T2817" i="3"/>
  <c r="X2817" i="3" s="1"/>
  <c r="T2816" i="3"/>
  <c r="X2816" i="3" s="1"/>
  <c r="T2815" i="3"/>
  <c r="X2815" i="3" s="1"/>
  <c r="T2814" i="3"/>
  <c r="X2814" i="3" s="1"/>
  <c r="T2813" i="3"/>
  <c r="X2813" i="3" s="1"/>
  <c r="T2812" i="3"/>
  <c r="X2812" i="3" s="1"/>
  <c r="T2811" i="3"/>
  <c r="X2811" i="3" s="1"/>
  <c r="T2810" i="3"/>
  <c r="X2810" i="3" s="1"/>
  <c r="T2809" i="3"/>
  <c r="X2809" i="3" s="1"/>
  <c r="T2808" i="3"/>
  <c r="X2808" i="3" s="1"/>
  <c r="T2807" i="3"/>
  <c r="X2807"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9" i="3"/>
  <c r="X2789"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71" i="3"/>
  <c r="X2771"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3" i="3"/>
  <c r="X2753"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5" i="3"/>
  <c r="X2735"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7" i="3"/>
  <c r="X2717"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9" i="3"/>
  <c r="X2699"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81" i="3"/>
  <c r="X2681"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1" i="3"/>
  <c r="X2641" i="3" s="1"/>
  <c r="T2640" i="3"/>
  <c r="X2640" i="3" s="1"/>
  <c r="T2639" i="3"/>
  <c r="X2639" i="3" s="1"/>
  <c r="T2638" i="3"/>
  <c r="X2638" i="3" s="1"/>
  <c r="I2552" i="10"/>
  <c r="I2553"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4" i="3"/>
  <c r="X2624" i="3" s="1"/>
  <c r="T2623" i="3"/>
  <c r="X2623" i="3" s="1"/>
  <c r="T2618" i="3"/>
  <c r="X2618" i="3" s="1"/>
  <c r="T2622" i="3"/>
  <c r="X2622" i="3" s="1"/>
  <c r="T2621" i="3"/>
  <c r="X2621" i="3" s="1"/>
  <c r="T2620" i="3"/>
  <c r="X2620" i="3" s="1"/>
  <c r="T2619" i="3"/>
  <c r="X2619" i="3" s="1"/>
  <c r="T2617" i="3"/>
  <c r="X2617" i="3" s="1"/>
  <c r="T2616" i="3"/>
  <c r="X2616" i="3" s="1"/>
  <c r="T2615" i="3"/>
  <c r="X2615" i="3" s="1"/>
  <c r="T2614" i="3"/>
  <c r="X2614" i="3" s="1"/>
  <c r="T2613" i="3"/>
  <c r="X2613" i="3" s="1"/>
  <c r="T2612" i="3"/>
  <c r="X2612" i="3" s="1"/>
  <c r="T2611" i="3"/>
  <c r="X2611" i="3" s="1"/>
  <c r="T2610" i="3"/>
  <c r="X2610" i="3" s="1"/>
  <c r="T2609" i="3"/>
  <c r="X2609" i="3" s="1"/>
  <c r="T2608" i="3"/>
  <c r="X2608" i="3" s="1"/>
  <c r="T2607" i="3"/>
  <c r="X2607" i="3" s="1"/>
  <c r="T2606" i="3"/>
  <c r="X2606" i="3" s="1"/>
  <c r="T2605" i="3"/>
  <c r="X2605" i="3" s="1"/>
  <c r="T2604" i="3"/>
  <c r="X2604" i="3" s="1"/>
  <c r="T2603" i="3"/>
  <c r="X2603" i="3" s="1"/>
  <c r="T2602" i="3"/>
  <c r="X2602" i="3" s="1"/>
  <c r="T2601" i="3"/>
  <c r="X2601" i="3" s="1"/>
  <c r="T2600" i="3"/>
  <c r="X2600" i="3" s="1"/>
  <c r="T2599" i="3"/>
  <c r="X2599" i="3" s="1"/>
  <c r="T2598" i="3"/>
  <c r="X2598" i="3" s="1"/>
  <c r="T2597" i="3"/>
  <c r="X2597" i="3" s="1"/>
  <c r="T2596" i="3"/>
  <c r="X2596" i="3" s="1"/>
  <c r="T2595" i="3"/>
  <c r="X2595" i="3" s="1"/>
  <c r="T2594" i="3"/>
  <c r="X2594" i="3" s="1"/>
  <c r="T2593" i="3"/>
  <c r="X2593" i="3" s="1"/>
  <c r="T2592" i="3"/>
  <c r="X2592" i="3" s="1"/>
  <c r="T2591" i="3"/>
  <c r="X2591" i="3" s="1"/>
  <c r="T2590" i="3"/>
  <c r="X2590" i="3" s="1"/>
  <c r="T2589" i="3"/>
  <c r="X2589" i="3" s="1"/>
  <c r="T2588" i="3"/>
  <c r="X2588" i="3" s="1"/>
  <c r="T2584" i="3"/>
  <c r="X2584" i="3" s="1"/>
  <c r="T2579" i="3"/>
  <c r="X2579" i="3" s="1"/>
  <c r="T2574" i="3"/>
  <c r="X2574" i="3" s="1"/>
  <c r="T2569" i="3"/>
  <c r="X2569" i="3" s="1"/>
  <c r="T2564" i="3"/>
  <c r="X2564" i="3" s="1"/>
  <c r="T2587" i="3"/>
  <c r="X2587" i="3" s="1"/>
  <c r="T2586" i="3"/>
  <c r="X2586" i="3" s="1"/>
  <c r="T2585" i="3"/>
  <c r="X2585" i="3" s="1"/>
  <c r="T2583" i="3"/>
  <c r="X2583" i="3" s="1"/>
  <c r="T2582" i="3"/>
  <c r="X2582" i="3" s="1"/>
  <c r="T2581" i="3"/>
  <c r="X2581" i="3" s="1"/>
  <c r="T2580" i="3"/>
  <c r="X2580" i="3" s="1"/>
  <c r="T2578" i="3"/>
  <c r="X2578" i="3" s="1"/>
  <c r="T2577" i="3"/>
  <c r="X2577" i="3" s="1"/>
  <c r="T2576" i="3"/>
  <c r="X2576" i="3" s="1"/>
  <c r="T2575" i="3"/>
  <c r="X2575" i="3" s="1"/>
  <c r="T2573" i="3"/>
  <c r="X2573" i="3" s="1"/>
  <c r="T2572" i="3"/>
  <c r="X2572" i="3" s="1"/>
  <c r="T2571" i="3"/>
  <c r="X2571" i="3" s="1"/>
  <c r="T2570" i="3"/>
  <c r="X2570" i="3" s="1"/>
  <c r="T2568" i="3"/>
  <c r="X2568" i="3" s="1"/>
  <c r="T2567" i="3"/>
  <c r="X2567" i="3" s="1"/>
  <c r="T2566" i="3"/>
  <c r="X2566" i="3" s="1"/>
  <c r="T2565" i="3"/>
  <c r="X2565" i="3" s="1"/>
  <c r="T2563" i="3"/>
  <c r="X2563" i="3" s="1"/>
  <c r="W2550" i="3"/>
  <c r="K1110" i="2"/>
  <c r="X2545" i="3" s="1"/>
  <c r="A2538" i="10"/>
  <c r="B2538" i="10"/>
  <c r="C2538" i="10"/>
  <c r="D2538" i="10"/>
  <c r="E2538" i="10"/>
  <c r="F2538" i="10"/>
  <c r="G2538" i="10"/>
  <c r="H2538" i="10"/>
  <c r="H1079" i="4"/>
  <c r="H1078" i="4"/>
  <c r="K1070" i="2"/>
  <c r="J1069" i="2"/>
  <c r="I1069" i="2"/>
  <c r="K1069" i="2"/>
  <c r="I1064" i="2" l="1"/>
  <c r="J1064" i="2"/>
  <c r="K1064" i="2"/>
  <c r="X2515" i="3"/>
  <c r="V2515" i="3"/>
  <c r="K1063" i="2"/>
  <c r="K1062" i="2"/>
  <c r="K1060" i="2"/>
  <c r="X2507" i="3" s="1"/>
  <c r="J1060" i="2"/>
  <c r="I1060" i="2"/>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G2524" i="10"/>
  <c r="H2524" i="10"/>
  <c r="A2525" i="10"/>
  <c r="B2525" i="10"/>
  <c r="C2525" i="10"/>
  <c r="D2525" i="10"/>
  <c r="E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H2528" i="10"/>
  <c r="A2529" i="10"/>
  <c r="B2529" i="10"/>
  <c r="C2529" i="10"/>
  <c r="D2529" i="10"/>
  <c r="E2529" i="10"/>
  <c r="F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K1059" i="2"/>
  <c r="Q1059" i="4" s="1"/>
  <c r="J1058" i="2"/>
  <c r="I1058" i="2"/>
  <c r="Z2461" i="10"/>
  <c r="Z2462" i="10"/>
  <c r="Z2463" i="10"/>
  <c r="Z2464" i="10"/>
  <c r="Z2465" i="10"/>
  <c r="Z2466" i="10"/>
  <c r="Z2467" i="10"/>
  <c r="Z2468" i="10"/>
  <c r="Z2469" i="10"/>
  <c r="Z2470" i="10"/>
  <c r="Z2471" i="10"/>
  <c r="Z2472" i="10"/>
  <c r="Z2473" i="10"/>
  <c r="Z2474" i="10"/>
  <c r="Z2475" i="10"/>
  <c r="Z2476" i="10"/>
  <c r="Z2491" i="10"/>
  <c r="Z2492" i="10"/>
  <c r="Z2497" i="10"/>
  <c r="Z2498" i="10"/>
  <c r="Z2499" i="10"/>
  <c r="Z2500" i="10"/>
  <c r="Z2501" i="10"/>
  <c r="Z2502" i="10"/>
  <c r="X2462" i="10"/>
  <c r="Y2462" i="10"/>
  <c r="X2463" i="10"/>
  <c r="Y2463" i="10"/>
  <c r="X2464" i="10"/>
  <c r="Y2464" i="10"/>
  <c r="X2465" i="10"/>
  <c r="Y2465" i="10"/>
  <c r="X2466" i="10"/>
  <c r="Y2466" i="10"/>
  <c r="X2467" i="10"/>
  <c r="Y2467" i="10"/>
  <c r="X2468" i="10"/>
  <c r="Y2468" i="10"/>
  <c r="X2469" i="10"/>
  <c r="Y2469" i="10"/>
  <c r="X2470" i="10"/>
  <c r="Y2470" i="10"/>
  <c r="X2471" i="10"/>
  <c r="Y2471" i="10"/>
  <c r="X2472" i="10"/>
  <c r="Y2472" i="10"/>
  <c r="X2473" i="10"/>
  <c r="Y2473" i="10"/>
  <c r="X2474" i="10"/>
  <c r="Y2474" i="10"/>
  <c r="X2475" i="10"/>
  <c r="Y2475" i="10"/>
  <c r="X2476" i="10"/>
  <c r="Y2476" i="10"/>
  <c r="X2491" i="10"/>
  <c r="Y2491" i="10"/>
  <c r="X2492" i="10"/>
  <c r="Y2492" i="10"/>
  <c r="X2497" i="10"/>
  <c r="Y2497" i="10"/>
  <c r="X2498" i="10"/>
  <c r="Y2498" i="10"/>
  <c r="X2499" i="10"/>
  <c r="Y2499" i="10"/>
  <c r="X2500" i="10"/>
  <c r="Y2500" i="10"/>
  <c r="X2501" i="10"/>
  <c r="Y2501" i="10"/>
  <c r="X2502" i="10"/>
  <c r="Y2502" i="10"/>
  <c r="Y2461" i="10"/>
  <c r="X2461"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08" i="3" l="1"/>
  <c r="O1060" i="4"/>
  <c r="R1060" i="4" s="1"/>
  <c r="V2509" i="3" s="1"/>
  <c r="K990" i="2"/>
  <c r="J2316" i="3" s="1"/>
  <c r="J2318" i="3" s="1"/>
  <c r="X2509"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91" i="10"/>
  <c r="B2491" i="10"/>
  <c r="C2491" i="10"/>
  <c r="D2491" i="10"/>
  <c r="E2491" i="10"/>
  <c r="F2491" i="10"/>
  <c r="G2491" i="10"/>
  <c r="H2491" i="10"/>
  <c r="A2492" i="10"/>
  <c r="B2492" i="10"/>
  <c r="C2492" i="10"/>
  <c r="D2492" i="10"/>
  <c r="F2492" i="10"/>
  <c r="G2492" i="10"/>
  <c r="H2492" i="10"/>
  <c r="A2494" i="10"/>
  <c r="B2494" i="10"/>
  <c r="C2494" i="10"/>
  <c r="D2494" i="10"/>
  <c r="E2494" i="10"/>
  <c r="F2494" i="10"/>
  <c r="G2494" i="10"/>
  <c r="H2494" i="10"/>
  <c r="A2495" i="10"/>
  <c r="B2495" i="10"/>
  <c r="C2495" i="10"/>
  <c r="D2495" i="10"/>
  <c r="F2495" i="10"/>
  <c r="G2495" i="10"/>
  <c r="H2495"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E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E2306" i="10"/>
  <c r="F2306" i="10"/>
  <c r="B2310" i="10"/>
  <c r="C2310" i="10"/>
  <c r="D2310" i="10"/>
  <c r="E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24" i="10" l="1"/>
  <c r="F2525" i="10"/>
  <c r="G2528" i="10"/>
  <c r="G2529" i="10"/>
</calcChain>
</file>

<file path=xl/sharedStrings.xml><?xml version="1.0" encoding="utf-8"?>
<sst xmlns="http://schemas.openxmlformats.org/spreadsheetml/2006/main" count="194882" uniqueCount="8437">
  <si>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</si>
  <si>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</si>
  <si>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</si>
  <si>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</si>
  <si>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</si>
  <si>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</si>
  <si>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</si>
  <si>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</si>
  <si>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</si>
  <si>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</si>
  <si>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</si>
  <si>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</si>
  <si>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</si>
  <si>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</si>
  <si>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</si>
  <si>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</si>
  <si>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</si>
  <si>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</si>
  <si>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</si>
  <si>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</si>
  <si>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</si>
  <si>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</si>
  <si>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</si>
  <si>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</si>
  <si>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</si>
  <si>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</si>
  <si>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</si>
  <si>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</si>
  <si>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</si>
  <si>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</si>
  <si>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</si>
  <si>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</si>
  <si>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</si>
  <si>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</si>
  <si>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</si>
  <si>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</si>
  <si>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</si>
  <si>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</si>
  <si>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</si>
  <si>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</si>
  <si>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</si>
  <si>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</si>
  <si>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</si>
  <si>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</si>
  <si>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</si>
  <si>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</si>
  <si>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</si>
  <si>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</si>
  <si>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</si>
  <si>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</si>
  <si>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</si>
  <si>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</si>
  <si>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</si>
  <si>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</si>
  <si>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</si>
  <si>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</si>
  <si>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</si>
  <si>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</si>
  <si>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</si>
  <si>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</si>
  <si>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</si>
  <si>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</si>
  <si>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</si>
  <si>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</si>
  <si>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</si>
  <si>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</si>
  <si>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</si>
  <si>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</si>
  <si>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</si>
  <si>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</si>
  <si>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</si>
  <si>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</si>
  <si>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</si>
  <si>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</si>
  <si>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</si>
  <si>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</si>
  <si>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</si>
  <si>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</si>
  <si>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</si>
  <si>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</si>
  <si>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</si>
  <si>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</si>
  <si>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</si>
  <si>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</si>
  <si>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</si>
  <si>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</si>
  <si>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</si>
  <si>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</si>
  <si>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</si>
  <si>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</si>
  <si>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</si>
  <si>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</si>
  <si>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</si>
  <si>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</si>
  <si>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</si>
  <si>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</si>
  <si>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</si>
  <si>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</si>
  <si>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</si>
  <si>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</si>
  <si>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</si>
  <si>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</si>
  <si>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</si>
  <si>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</si>
  <si>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</si>
  <si>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</si>
  <si>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</si>
  <si>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</si>
  <si>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</si>
  <si>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</si>
  <si>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</si>
  <si>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</si>
  <si>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</si>
  <si>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</si>
  <si>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</si>
  <si>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</si>
  <si>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</si>
  <si>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</si>
  <si>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</si>
  <si>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</si>
  <si>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</si>
  <si>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</si>
  <si>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</si>
  <si>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</si>
  <si>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</si>
  <si>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</si>
  <si>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</si>
  <si>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</si>
  <si>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</si>
  <si>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</si>
  <si>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</si>
  <si>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</si>
  <si>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</si>
  <si>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</si>
  <si>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</si>
  <si>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</si>
  <si>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</si>
  <si>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</si>
  <si>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</si>
  <si>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</si>
  <si>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</si>
  <si>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</si>
  <si>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</si>
  <si>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</si>
  <si>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</si>
  <si>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</si>
  <si>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</si>
  <si>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</si>
  <si>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</si>
  <si>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</si>
  <si>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</si>
  <si>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</si>
  <si>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</si>
  <si>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</si>
  <si>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</si>
  <si>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</si>
  <si>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</si>
  <si>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</si>
  <si>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</si>
  <si>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</si>
  <si>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</si>
  <si>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</si>
  <si>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</si>
  <si>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</si>
  <si>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</si>
  <si>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</si>
  <si>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</si>
  <si>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</si>
  <si>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</si>
  <si>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</si>
  <si>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</si>
  <si>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</si>
  <si>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</si>
  <si>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</si>
  <si>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</si>
  <si>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</si>
  <si>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</si>
  <si>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</si>
  <si>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</si>
  <si>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</si>
  <si>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</si>
  <si>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</si>
  <si>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</si>
  <si>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</si>
  <si>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</si>
  <si>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</si>
  <si>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</si>
  <si>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</si>
  <si>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</si>
  <si>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</si>
  <si>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</si>
  <si>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</si>
  <si>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</si>
  <si>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</si>
  <si>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</si>
  <si>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</si>
  <si>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</si>
  <si>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</si>
  <si>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</si>
  <si>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</si>
  <si>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</si>
  <si>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</si>
  <si>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</si>
  <si>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</si>
  <si>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</si>
  <si>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</si>
  <si>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</si>
  <si>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</si>
  <si>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</si>
  <si>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</si>
  <si>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</si>
  <si>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</si>
  <si>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</si>
  <si>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</si>
  <si>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</si>
  <si>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</si>
  <si>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</si>
  <si>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</si>
  <si>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</si>
  <si>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</si>
  <si>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</si>
  <si>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</si>
  <si>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</si>
  <si>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</si>
  <si>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</si>
  <si>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</si>
  <si>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</si>
  <si>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</si>
  <si>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</si>
  <si>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</si>
  <si>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</si>
  <si>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</si>
  <si>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</si>
  <si>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</si>
  <si>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</si>
  <si>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</si>
  <si>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</si>
  <si>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</si>
  <si>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</si>
  <si>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</si>
  <si>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</si>
  <si>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</si>
  <si>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</si>
  <si>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</si>
  <si>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</si>
  <si>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</si>
  <si>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</si>
  <si>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</si>
  <si>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</si>
  <si>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</si>
  <si>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</si>
  <si>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</si>
  <si>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</si>
  <si>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</si>
  <si>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</si>
  <si>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</si>
  <si>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</si>
  <si>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</si>
  <si>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</si>
  <si>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</si>
  <si>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</si>
  <si>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</si>
  <si>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</si>
  <si>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</si>
  <si>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</si>
  <si>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</si>
  <si>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</si>
  <si>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</si>
  <si>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</si>
  <si>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</si>
  <si>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</si>
  <si>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</si>
  <si>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</si>
  <si>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</si>
  <si>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</si>
  <si>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</si>
  <si>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</si>
  <si>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</si>
  <si>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</si>
  <si>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</si>
  <si>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</si>
  <si>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</si>
  <si>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</si>
  <si>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</si>
  <si>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</si>
  <si>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</si>
  <si>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</si>
  <si>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</si>
  <si>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</si>
  <si>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</si>
  <si>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</si>
  <si>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</si>
  <si>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</si>
  <si>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</si>
  <si>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</si>
  <si>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</si>
  <si>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</si>
  <si>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</si>
  <si>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</si>
  <si>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</si>
  <si>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</si>
  <si>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</si>
  <si>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</si>
  <si>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</si>
  <si>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</si>
  <si>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</si>
  <si>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</si>
  <si>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</si>
  <si>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</si>
  <si>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</si>
  <si>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</si>
  <si>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</si>
  <si>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</si>
  <si>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</si>
  <si>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</si>
  <si>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</si>
  <si>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</si>
  <si>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</si>
  <si>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</si>
  <si>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</si>
  <si>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</si>
  <si>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</si>
  <si>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</si>
  <si>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</si>
  <si>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</si>
  <si>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</si>
  <si>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</si>
  <si>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</si>
  <si>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</si>
  <si>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</si>
  <si>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</si>
  <si>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</si>
  <si>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</si>
  <si>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</si>
  <si>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</si>
  <si>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</si>
  <si>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</si>
  <si>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</si>
  <si>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</si>
  <si>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</si>
  <si>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</si>
  <si>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</si>
  <si>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</si>
  <si>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</si>
  <si>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</si>
  <si>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</si>
  <si>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</si>
  <si>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</si>
  <si>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</si>
  <si>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</si>
  <si>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</si>
  <si>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</si>
  <si>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</si>
  <si>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</si>
  <si>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</si>
  <si>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</si>
  <si>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</si>
  <si>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</si>
  <si>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</si>
  <si>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</si>
  <si>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</si>
  <si>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</si>
  <si>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</si>
  <si>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</si>
  <si>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</si>
  <si>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</si>
  <si>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</si>
  <si>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</si>
  <si>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</si>
  <si>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</si>
  <si>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</si>
  <si>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</si>
  <si>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</si>
  <si>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</si>
  <si>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</si>
  <si>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</si>
  <si>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</si>
  <si>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</si>
  <si>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</si>
  <si>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</si>
  <si>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</si>
  <si>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</si>
  <si>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</si>
  <si>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</si>
  <si>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</si>
  <si>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</si>
  <si>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</si>
  <si>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</si>
  <si>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</si>
  <si>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</si>
  <si>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</si>
  <si>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</si>
  <si>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</si>
  <si>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</si>
  <si>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</si>
  <si>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</si>
  <si>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</si>
  <si>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</si>
  <si>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</si>
  <si>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</si>
  <si>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</si>
  <si>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</si>
  <si>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</si>
  <si>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</si>
  <si>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</si>
  <si>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</si>
  <si>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</si>
  <si>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</si>
  <si>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</si>
  <si>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</si>
  <si>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</si>
  <si>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</si>
  <si>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</si>
  <si>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</si>
  <si>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</si>
  <si>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</si>
  <si>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</si>
  <si>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</si>
  <si>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</si>
  <si>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</si>
  <si>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</si>
  <si>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</si>
  <si>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</si>
  <si>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</si>
  <si>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</si>
  <si>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</si>
  <si>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</si>
  <si>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</si>
  <si>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</si>
  <si>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</si>
  <si>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</si>
  <si>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</si>
  <si>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</si>
  <si>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</si>
  <si>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</si>
  <si>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</si>
  <si>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</si>
  <si>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</si>
  <si>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</si>
  <si>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</si>
  <si>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</si>
  <si>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</si>
  <si>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</si>
  <si>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</si>
  <si>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</si>
  <si>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</si>
  <si>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</si>
  <si>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</si>
  <si>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</si>
  <si>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</si>
  <si>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</si>
  <si>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</si>
  <si>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</si>
  <si>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</si>
  <si>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</si>
  <si>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</si>
  <si>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</si>
  <si>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</si>
  <si>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</si>
  <si>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</si>
  <si>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</si>
  <si>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</si>
  <si>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</si>
  <si>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</si>
  <si>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</si>
  <si>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</si>
  <si>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</si>
  <si>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</si>
  <si>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</si>
  <si>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</si>
  <si>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</si>
  <si>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</si>
  <si>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</si>
  <si>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</si>
  <si>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</si>
  <si>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</si>
  <si>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</si>
  <si>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</si>
  <si>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</si>
  <si>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</si>
  <si>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</si>
  <si>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</si>
  <si>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</si>
  <si>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</si>
  <si>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</si>
  <si>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</si>
  <si>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</si>
  <si>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</si>
  <si>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</si>
  <si>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</si>
  <si>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</si>
  <si>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</si>
  <si>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</si>
  <si>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</si>
  <si>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</si>
  <si>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</si>
  <si>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</si>
  <si>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</si>
  <si>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</si>
  <si>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</si>
  <si>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</si>
  <si>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</si>
  <si>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</si>
  <si>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</si>
  <si>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</si>
  <si>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</si>
  <si>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</si>
  <si>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</si>
  <si>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</si>
  <si>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</si>
  <si>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</si>
  <si>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</si>
  <si>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</si>
  <si>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</si>
  <si>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</si>
  <si>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</si>
  <si>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</si>
  <si>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</si>
  <si>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</si>
  <si>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</si>
  <si>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</si>
  <si>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</si>
  <si>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</si>
  <si>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</si>
  <si>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</si>
  <si>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</si>
  <si>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</si>
  <si>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</si>
  <si>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</si>
  <si>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</si>
  <si>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</si>
  <si>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</si>
  <si>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</si>
  <si>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</si>
  <si>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</si>
  <si>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</si>
  <si>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</si>
  <si>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</si>
  <si>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</si>
  <si>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</si>
  <si>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</si>
  <si>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</si>
  <si>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</si>
  <si>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</si>
  <si>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</si>
  <si>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</si>
  <si>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</si>
  <si>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</si>
  <si>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</si>
  <si>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</si>
  <si>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</si>
  <si>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</si>
  <si>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</si>
  <si>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</si>
  <si>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</si>
  <si>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</si>
  <si>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</si>
  <si>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</si>
  <si>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</si>
  <si>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</si>
  <si>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</si>
  <si>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</si>
  <si>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</si>
  <si>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</si>
  <si>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</si>
  <si>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</si>
  <si>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</si>
  <si>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</si>
  <si>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</si>
  <si>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</si>
  <si>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</si>
  <si>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</si>
  <si>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</si>
  <si>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</si>
  <si>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</si>
  <si>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</si>
  <si>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</si>
  <si>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</si>
  <si>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</si>
  <si>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</si>
  <si>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</si>
  <si>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</si>
  <si>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</si>
  <si>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</si>
  <si>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</si>
  <si>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</si>
  <si>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</si>
  <si>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</si>
  <si>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</si>
  <si>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</si>
  <si>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</si>
  <si>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</si>
  <si>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</si>
  <si>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</si>
  <si>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</si>
  <si>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</si>
  <si>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</si>
  <si>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</si>
  <si>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</si>
  <si>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</si>
  <si>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</si>
  <si>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</si>
  <si>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</si>
  <si>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</si>
  <si>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</si>
  <si>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</si>
  <si>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</si>
  <si>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</si>
  <si>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</si>
  <si>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</si>
  <si>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</si>
  <si>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</si>
  <si>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</si>
  <si>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</si>
  <si>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</si>
  <si>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</si>
  <si>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</si>
  <si>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</si>
  <si>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</si>
  <si>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</si>
  <si>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</si>
  <si>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</si>
  <si>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</si>
  <si>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</si>
  <si>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</si>
  <si>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</si>
  <si>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</si>
  <si>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</si>
  <si>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</si>
  <si>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</si>
  <si>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</si>
  <si>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</si>
  <si>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</si>
  <si>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</si>
  <si>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</si>
  <si>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</si>
  <si>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</si>
  <si>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</si>
  <si>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</si>
  <si>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</si>
  <si>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</si>
  <si>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</si>
  <si>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</si>
  <si>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</si>
  <si>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</si>
  <si>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</si>
  <si>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</si>
  <si>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</si>
  <si>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</si>
  <si>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</si>
  <si>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</si>
  <si>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</si>
  <si>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</si>
  <si>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</si>
  <si>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</si>
  <si>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</si>
  <si>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</si>
  <si>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</si>
  <si>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</si>
  <si>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</si>
  <si>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</si>
  <si>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</si>
  <si>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</si>
  <si>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</si>
  <si>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</si>
  <si>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</si>
  <si>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</si>
  <si>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</si>
  <si>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</si>
  <si>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</si>
  <si>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</si>
  <si>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</si>
  <si>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</si>
  <si>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</si>
  <si>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</si>
  <si>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</si>
  <si>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</si>
  <si>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</si>
  <si>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</si>
  <si>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</si>
  <si>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</si>
  <si>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</si>
  <si>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</si>
  <si>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</si>
  <si>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</si>
  <si>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</si>
  <si>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</si>
  <si>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</si>
  <si>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</si>
  <si>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</si>
  <si>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</si>
  <si>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</si>
  <si>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</si>
  <si>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</si>
  <si>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</si>
  <si>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</si>
  <si>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</si>
  <si>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</si>
  <si>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</si>
  <si>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</si>
  <si>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</si>
  <si>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</si>
  <si>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</si>
  <si>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</si>
  <si>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</si>
  <si>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</si>
  <si>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</si>
  <si>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</si>
  <si>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</si>
  <si>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</si>
  <si>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</si>
  <si>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</si>
  <si>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</si>
  <si>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</si>
  <si>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</si>
  <si>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</si>
  <si>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</si>
  <si>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</si>
  <si>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</si>
  <si>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</si>
  <si>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</si>
  <si>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</si>
  <si>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</si>
  <si>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</si>
  <si>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</si>
  <si>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</si>
  <si>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</si>
  <si>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</si>
  <si>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</si>
  <si>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</si>
  <si>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</si>
  <si>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</si>
  <si>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</si>
  <si>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</si>
  <si>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</si>
  <si>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</si>
  <si>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</si>
  <si>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</si>
  <si>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</si>
  <si>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</si>
  <si>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</si>
  <si>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</si>
  <si>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</si>
  <si>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</si>
  <si>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</si>
  <si>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</si>
  <si>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</si>
  <si>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</si>
  <si>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</si>
  <si>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</si>
  <si>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</si>
  <si>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</si>
  <si>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</si>
  <si>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</si>
  <si>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</si>
  <si>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</si>
  <si>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</si>
  <si>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</si>
  <si>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</si>
  <si>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</si>
  <si>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</si>
  <si>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</si>
  <si>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</si>
  <si>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</si>
  <si>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</si>
  <si>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</si>
  <si>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</si>
  <si>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</si>
  <si>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</si>
  <si>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</si>
  <si>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</si>
  <si>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</si>
  <si>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</si>
  <si>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</si>
  <si>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</si>
  <si>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</si>
  <si>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</si>
  <si>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</si>
  <si>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</si>
  <si>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</si>
  <si>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</si>
  <si>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</si>
  <si>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</si>
  <si>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</si>
  <si>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</si>
  <si>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</si>
  <si>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</si>
  <si>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</si>
  <si>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</si>
  <si>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</si>
  <si>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</si>
  <si>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</si>
  <si>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</si>
  <si>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</si>
  <si>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</si>
  <si>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</si>
  <si>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</si>
  <si>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</si>
  <si>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</si>
  <si>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</si>
  <si>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</si>
  <si>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</si>
  <si>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</si>
  <si>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</si>
  <si>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</si>
  <si>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</si>
  <si>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</si>
  <si>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</si>
  <si>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</si>
  <si>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</si>
  <si>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</si>
  <si>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</si>
  <si>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</si>
  <si>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</si>
  <si>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</si>
  <si>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</si>
  <si>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</si>
  <si>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</si>
  <si>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</si>
  <si>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</si>
  <si>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</si>
  <si>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</si>
  <si>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</si>
  <si>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</si>
  <si>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</si>
  <si>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</si>
  <si>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</si>
  <si>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</si>
  <si>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</si>
  <si>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</si>
  <si>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</si>
  <si>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</si>
  <si>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</si>
  <si>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</si>
  <si>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</si>
  <si>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</si>
  <si>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</si>
  <si>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</si>
  <si>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</si>
  <si>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</si>
  <si>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</si>
  <si>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</si>
  <si>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</si>
  <si>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</si>
  <si>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</si>
  <si>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</si>
  <si>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</si>
  <si>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</si>
  <si>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</si>
  <si>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</si>
  <si>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</si>
  <si>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</si>
  <si>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</si>
  <si>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</si>
  <si>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</si>
  <si>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</si>
  <si>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</si>
  <si>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</si>
  <si>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</si>
  <si>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</si>
  <si>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</si>
  <si>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</si>
  <si>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</si>
  <si>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</si>
  <si>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</si>
  <si>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</si>
  <si>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</si>
  <si>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</si>
  <si>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</si>
  <si>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</si>
  <si>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</si>
  <si>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</si>
  <si>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</si>
  <si>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</si>
  <si>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</si>
  <si>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</si>
  <si>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</si>
  <si>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</si>
  <si>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</si>
  <si>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</si>
  <si>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</si>
  <si>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</si>
  <si>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</si>
  <si>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</si>
  <si>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</si>
  <si>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</si>
  <si>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</si>
  <si>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</si>
  <si>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</si>
  <si>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</si>
  <si>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</si>
  <si>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</si>
  <si>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</si>
  <si>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</si>
  <si>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</si>
  <si>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</si>
  <si>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</si>
  <si>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</si>
  <si>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</si>
  <si>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</si>
  <si>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</si>
  <si>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</si>
  <si>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</si>
  <si>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</si>
  <si>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</si>
  <si>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</si>
  <si>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</si>
  <si>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</si>
  <si>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</si>
  <si>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</si>
  <si>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</si>
  <si>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</si>
  <si>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</si>
  <si>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</si>
  <si>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</si>
  <si>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</si>
  <si>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</si>
  <si>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</si>
  <si>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</si>
  <si>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</si>
  <si>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</si>
  <si>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</si>
  <si>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</si>
  <si>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</si>
  <si>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</si>
  <si>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</si>
  <si>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</si>
  <si>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</si>
  <si>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</si>
  <si>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</si>
  <si>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</si>
  <si>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</si>
  <si>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</si>
  <si>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</si>
  <si>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</si>
  <si>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</si>
  <si>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</si>
  <si>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</si>
  <si>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</si>
  <si>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</si>
  <si>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</si>
  <si>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</si>
  <si>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</si>
  <si>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</si>
  <si>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</si>
  <si>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</si>
  <si>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</si>
  <si>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</si>
  <si>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</si>
  <si>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</si>
  <si>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</si>
  <si>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</si>
  <si>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</si>
  <si>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</si>
  <si>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</si>
  <si>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</si>
  <si>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</si>
  <si>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</si>
  <si>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</si>
  <si>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</si>
  <si>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</si>
  <si>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</si>
  <si>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</si>
  <si>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</si>
  <si>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</si>
  <si>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</si>
  <si>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</si>
  <si>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</si>
  <si>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</si>
  <si>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</si>
  <si>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</si>
  <si>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</si>
  <si>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</si>
  <si>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</si>
  <si>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</si>
  <si>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</si>
  <si>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</si>
  <si>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</si>
  <si>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</si>
  <si>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</si>
  <si>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</si>
  <si>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</si>
  <si>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</si>
  <si>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</si>
  <si>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</si>
  <si>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</si>
  <si>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</si>
  <si>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</si>
  <si>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</si>
  <si>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</si>
  <si>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</si>
  <si>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</si>
  <si>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</si>
  <si>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</si>
  <si>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</si>
  <si>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</si>
  <si>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</si>
  <si>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</si>
  <si>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</si>
  <si>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</si>
  <si>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</si>
  <si>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</si>
  <si>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</si>
  <si>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</si>
  <si>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</si>
  <si>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</si>
  <si>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</si>
  <si>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</si>
  <si>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</si>
  <si>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</si>
  <si>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</si>
  <si>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</si>
  <si>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</si>
  <si>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</si>
  <si>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</si>
  <si>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</si>
  <si>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</si>
  <si>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</si>
  <si>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</si>
  <si>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</si>
  <si>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</si>
  <si>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</si>
  <si>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</si>
  <si>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</si>
  <si>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</si>
  <si>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</si>
  <si>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</si>
  <si>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</si>
  <si>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</si>
  <si>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</si>
  <si>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</si>
  <si>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</si>
  <si>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</si>
  <si>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</si>
  <si>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</si>
  <si>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</si>
  <si>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</si>
  <si>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</si>
  <si>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</si>
  <si>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</si>
  <si>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</si>
  <si>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</si>
  <si>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</si>
  <si>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</si>
  <si>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</si>
  <si>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</si>
  <si>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</si>
  <si>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</si>
  <si>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</si>
  <si>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</si>
  <si>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</si>
  <si>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</si>
  <si>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</si>
  <si>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</si>
  <si>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</si>
  <si>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</si>
  <si>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</si>
  <si>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</si>
  <si>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</si>
  <si>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</si>
  <si>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</si>
  <si>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</si>
  <si>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</si>
  <si>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</si>
  <si>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</si>
  <si>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</si>
  <si>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</si>
  <si>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</si>
  <si>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</si>
  <si>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</si>
  <si>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</si>
  <si>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</si>
  <si>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</si>
  <si>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</si>
  <si>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</si>
  <si>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</si>
  <si>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</si>
  <si>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</si>
  <si>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</si>
  <si>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</si>
  <si>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</si>
  <si>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</si>
  <si>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</si>
  <si>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</si>
  <si>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</si>
  <si>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</si>
  <si>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</si>
  <si>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</si>
  <si>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</si>
  <si>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</si>
  <si>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</si>
  <si>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</si>
  <si>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</si>
  <si>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</si>
  <si>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</si>
  <si>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</si>
  <si>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</si>
  <si>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</si>
  <si>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</si>
  <si>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</si>
  <si>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</si>
  <si>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</si>
  <si>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</si>
  <si>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</si>
  <si>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</si>
  <si>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</si>
  <si>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</si>
  <si>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</si>
  <si>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</si>
  <si>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</si>
  <si>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</si>
  <si>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</si>
  <si>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</si>
  <si>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</si>
  <si>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</si>
  <si>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</si>
  <si>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</si>
  <si>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</si>
  <si>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</si>
  <si>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</si>
  <si>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</si>
  <si>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</si>
  <si>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</si>
  <si>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</si>
  <si>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</si>
  <si>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</si>
  <si>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</si>
  <si>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</si>
  <si>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</si>
  <si>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</si>
  <si>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</si>
  <si>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</si>
  <si>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</si>
  <si>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</si>
  <si>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</si>
  <si>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</si>
  <si>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</si>
  <si>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</si>
  <si>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</si>
  <si>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</si>
  <si>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</si>
  <si>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</si>
  <si>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</si>
  <si>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</si>
  <si>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</si>
  <si>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</si>
  <si>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</si>
  <si>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</si>
  <si>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</si>
  <si>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</si>
  <si>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</si>
  <si>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</si>
  <si>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</si>
  <si>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</si>
  <si>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</si>
  <si>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</si>
  <si>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</si>
  <si>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</si>
  <si>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</si>
  <si>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</si>
  <si>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</si>
  <si>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</si>
  <si>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</si>
  <si>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</si>
  <si>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</si>
  <si>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</si>
  <si>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</si>
  <si>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</si>
  <si>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</si>
  <si>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</si>
  <si>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</si>
  <si>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</si>
  <si>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</si>
  <si>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</si>
  <si>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</si>
  <si>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</si>
  <si>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</si>
  <si>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</si>
  <si>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</si>
  <si>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</si>
  <si>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</si>
  <si>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</si>
  <si>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</si>
  <si>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</si>
  <si>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</si>
  <si>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</si>
  <si>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</si>
  <si>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</si>
  <si>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</si>
  <si>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</si>
  <si>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</si>
  <si>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</si>
  <si>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</si>
  <si>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</si>
  <si>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</si>
  <si>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</si>
  <si>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</si>
  <si>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</si>
  <si>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</si>
  <si>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</si>
  <si>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</si>
  <si>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</si>
  <si>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</si>
  <si>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</si>
  <si>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</si>
  <si>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</si>
  <si>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</si>
  <si>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</si>
  <si>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</si>
  <si>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</si>
  <si>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</si>
  <si>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</si>
  <si>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</si>
  <si>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</si>
  <si>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</si>
  <si>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</si>
  <si>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</si>
  <si>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</si>
  <si>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</si>
  <si>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</si>
  <si>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</si>
  <si>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</si>
  <si>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</si>
  <si>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</si>
  <si>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</si>
  <si>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</si>
  <si>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</si>
  <si>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</si>
  <si>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</si>
  <si>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</si>
  <si>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</si>
  <si>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</si>
  <si>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</si>
  <si>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</si>
  <si>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</si>
  <si>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</si>
  <si>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</si>
  <si>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</si>
  <si>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</si>
  <si>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</si>
  <si>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</si>
  <si>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</si>
  <si>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</si>
  <si>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</si>
  <si>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</si>
  <si>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</si>
  <si>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</si>
  <si>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</si>
  <si>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</si>
  <si>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</si>
  <si>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</si>
  <si>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</si>
  <si>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</si>
  <si>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</si>
  <si>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</si>
  <si>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</si>
  <si>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</si>
  <si>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</si>
  <si>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</si>
  <si>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</si>
  <si>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</si>
  <si>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</si>
  <si>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</si>
  <si>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</si>
  <si>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</si>
  <si>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</si>
  <si>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</si>
  <si>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</si>
  <si>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</si>
  <si>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</si>
  <si>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</si>
  <si>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</si>
  <si>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</si>
  <si>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</si>
  <si>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</si>
  <si>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</si>
  <si>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</si>
  <si>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</si>
  <si>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</si>
  <si>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</si>
  <si>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</si>
  <si>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</si>
  <si>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</si>
  <si>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</si>
  <si>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</si>
  <si>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</si>
  <si>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</si>
  <si>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</si>
  <si>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</si>
  <si>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</si>
  <si>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</si>
  <si>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</si>
  <si>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</si>
  <si>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</si>
  <si>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</si>
  <si>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</si>
  <si>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</si>
  <si>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</si>
  <si>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</si>
  <si>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</si>
  <si>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</si>
  <si>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</si>
  <si>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</si>
  <si>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</si>
  <si>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</si>
  <si>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</si>
  <si>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</si>
  <si>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</si>
  <si>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</si>
  <si>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</si>
  <si>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</si>
  <si>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</si>
  <si>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</si>
  <si>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</si>
  <si>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</si>
  <si>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</si>
  <si>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</si>
  <si>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</si>
  <si>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</si>
  <si>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</si>
  <si>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</si>
  <si>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</si>
  <si>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</si>
  <si>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</si>
  <si>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</si>
  <si>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</si>
  <si>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</si>
  <si>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</si>
  <si>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</si>
  <si>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</si>
  <si>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</si>
  <si>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</si>
  <si>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</si>
  <si>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</si>
  <si>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</si>
  <si>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</si>
  <si>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</si>
  <si>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</si>
  <si>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</si>
  <si>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</si>
  <si>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</si>
  <si>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</si>
  <si>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</si>
  <si>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</si>
  <si>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</si>
  <si>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</si>
  <si>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</si>
  <si>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</si>
  <si>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</si>
  <si>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</si>
  <si>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</si>
  <si>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</si>
  <si>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</si>
  <si>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</si>
  <si>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</si>
  <si>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</si>
  <si>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</si>
  <si>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</si>
  <si>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</si>
  <si>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</si>
  <si>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</si>
  <si>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</si>
  <si>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</si>
  <si>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</si>
  <si>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</si>
  <si>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</si>
  <si>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</si>
  <si>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</si>
  <si>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</si>
  <si>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</si>
  <si>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</si>
  <si>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</si>
  <si>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</si>
  <si>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</si>
  <si>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</si>
  <si>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</si>
  <si>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</si>
  <si>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</si>
  <si>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</si>
  <si>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</si>
  <si>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</si>
  <si>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</si>
  <si>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</si>
  <si>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</si>
  <si>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</si>
  <si>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</si>
  <si>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</si>
  <si>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</si>
  <si>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</si>
  <si>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</si>
  <si>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</si>
  <si>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</si>
  <si>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</si>
  <si>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</si>
  <si>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</si>
  <si>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</si>
  <si>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</si>
  <si>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</si>
  <si>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</si>
  <si>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</si>
  <si>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</si>
  <si>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</si>
  <si>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</si>
  <si>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</si>
  <si>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</si>
  <si>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</si>
  <si>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</si>
  <si>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</si>
  <si>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</si>
  <si>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</si>
  <si>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</si>
  <si>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</si>
  <si>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</si>
  <si>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</si>
  <si>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</si>
  <si>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</si>
  <si>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</si>
  <si>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</si>
  <si>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</si>
  <si>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</si>
  <si>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</si>
  <si>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</si>
  <si>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</si>
  <si>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</si>
  <si>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</si>
  <si>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</si>
  <si>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</si>
  <si>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</si>
  <si>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</si>
  <si>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</si>
  <si>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</si>
  <si>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</si>
  <si>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</si>
  <si>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</si>
  <si>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</si>
  <si>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</si>
  <si>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</si>
  <si>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</si>
  <si>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</si>
  <si>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</si>
  <si>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</si>
  <si>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</si>
  <si>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</si>
  <si>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</si>
  <si>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</si>
  <si>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</si>
  <si>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</si>
  <si>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</si>
  <si>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</si>
  <si>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</si>
  <si>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</si>
  <si>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</si>
  <si>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</si>
  <si>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</si>
  <si>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</si>
  <si>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</si>
  <si>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</si>
  <si>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</si>
  <si>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</si>
  <si>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</si>
  <si>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</si>
  <si>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</si>
  <si>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</si>
  <si>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</si>
  <si>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</si>
  <si>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</si>
  <si>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</si>
  <si>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</si>
  <si>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</si>
  <si>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</si>
  <si>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</si>
  <si>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</si>
  <si>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</si>
  <si>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</si>
  <si>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</si>
  <si>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</si>
  <si>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</si>
  <si>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</si>
  <si>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</si>
  <si>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</si>
  <si>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</si>
  <si>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</si>
  <si>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</si>
  <si>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</si>
  <si>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</si>
  <si>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</si>
  <si>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</si>
  <si>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</si>
  <si>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</si>
  <si>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</si>
  <si>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</si>
  <si>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</si>
  <si>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</si>
  <si>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</si>
  <si>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</si>
  <si>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</si>
  <si>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</si>
  <si>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</si>
  <si>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</si>
  <si>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</si>
  <si>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</si>
  <si>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</si>
  <si>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</si>
  <si>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</si>
  <si>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</si>
  <si>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</si>
  <si>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</si>
  <si>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</si>
  <si>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</si>
  <si>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</si>
  <si>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</si>
  <si>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</si>
  <si>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</si>
  <si>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</si>
  <si>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</si>
  <si>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</si>
  <si>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</si>
  <si>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</si>
  <si>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</si>
  <si>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</si>
  <si>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</si>
  <si>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</si>
  <si>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</si>
  <si>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</si>
  <si>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</si>
  <si>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</si>
  <si>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</si>
  <si>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</si>
  <si>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</si>
  <si>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</si>
  <si>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</si>
  <si>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</si>
  <si>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</si>
  <si>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</si>
  <si>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</si>
  <si>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</si>
  <si>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</si>
  <si>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</si>
  <si>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</si>
  <si>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</si>
  <si>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</si>
  <si>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</si>
  <si>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</si>
  <si>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</si>
  <si>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</si>
  <si>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</si>
  <si>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</si>
  <si>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</si>
  <si>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</si>
  <si>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</si>
  <si>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</si>
  <si>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</si>
  <si>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</si>
  <si>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</si>
  <si>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</si>
  <si>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</si>
  <si>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</si>
  <si>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</si>
  <si>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</si>
  <si>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</si>
  <si>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</si>
  <si>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</si>
  <si>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</si>
  <si>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</si>
  <si>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</si>
  <si>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</si>
  <si>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</si>
  <si>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</si>
  <si>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</si>
  <si>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</si>
  <si>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</si>
  <si>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</si>
  <si>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</si>
  <si>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</si>
  <si>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</si>
  <si>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</si>
  <si>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</si>
  <si>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</si>
  <si>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</si>
  <si>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</si>
  <si>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</si>
  <si>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</si>
  <si>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</si>
  <si>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</si>
  <si>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</si>
  <si>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</si>
  <si>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</si>
  <si>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</si>
  <si>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</si>
  <si>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</si>
  <si>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</si>
  <si>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</si>
  <si>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</si>
  <si>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</si>
  <si>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</si>
  <si>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</si>
  <si>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</si>
  <si>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</si>
  <si>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</si>
  <si>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</si>
  <si>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</si>
  <si>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</si>
  <si>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</si>
  <si>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</si>
  <si>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</si>
  <si>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</si>
  <si>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</si>
  <si>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</si>
  <si>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</si>
  <si>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</si>
  <si>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</si>
  <si>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</si>
  <si>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</si>
  <si>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</si>
  <si>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</si>
  <si>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</si>
  <si>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</si>
  <si>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</si>
  <si>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</si>
  <si>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</si>
  <si>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</si>
  <si>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</si>
  <si>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</si>
  <si>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</si>
  <si>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</si>
  <si>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</si>
  <si>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</si>
  <si>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</si>
  <si>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</si>
  <si>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</si>
  <si>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</si>
  <si>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</si>
  <si>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</si>
  <si>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</si>
  <si>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</si>
  <si>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</si>
  <si>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</si>
  <si>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</si>
  <si>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</si>
  <si>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</si>
  <si>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</si>
  <si>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</si>
  <si>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</si>
  <si>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</si>
  <si>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</si>
  <si>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</si>
  <si>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</si>
  <si>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</si>
  <si>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</si>
  <si>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</si>
  <si>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</si>
  <si>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</si>
  <si>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</si>
  <si>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</si>
  <si>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</si>
  <si>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</si>
  <si>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</si>
  <si>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</si>
  <si>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</si>
  <si>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</si>
  <si>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</si>
  <si>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</si>
  <si>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</si>
  <si>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</si>
  <si>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</si>
  <si>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</si>
  <si>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</si>
  <si>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</si>
  <si>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</si>
  <si>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</si>
  <si>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</si>
  <si>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</si>
  <si>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</si>
  <si>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</si>
  <si>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</si>
  <si>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</si>
  <si>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</si>
  <si>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</si>
  <si>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</si>
  <si>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</si>
  <si>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</si>
  <si>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</si>
  <si>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</si>
  <si>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</si>
  <si>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</si>
  <si>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</si>
  <si>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</si>
  <si>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</si>
  <si>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</si>
  <si>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</si>
  <si>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</si>
  <si>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</si>
  <si>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</si>
  <si>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</si>
  <si>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</si>
  <si>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</si>
  <si>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</si>
  <si>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</si>
  <si>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</si>
  <si>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</si>
  <si>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</si>
  <si>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</si>
  <si>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</si>
  <si>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</si>
  <si>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</si>
  <si>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</si>
  <si>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</si>
  <si>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</si>
  <si>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</si>
  <si>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</si>
  <si>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</si>
  <si>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</si>
  <si>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</si>
  <si>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</si>
  <si>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</si>
  <si>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</si>
  <si>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</si>
  <si>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</si>
  <si>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</si>
  <si>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</si>
  <si>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</si>
  <si>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</si>
  <si>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</si>
  <si>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</si>
  <si>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</si>
  <si>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</si>
  <si>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</si>
  <si>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</si>
  <si>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</si>
  <si>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</si>
  <si>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</si>
  <si>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</si>
  <si>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</si>
  <si>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</si>
  <si>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</si>
  <si>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</si>
  <si>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</si>
  <si>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</si>
  <si>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</si>
  <si>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</si>
  <si>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</si>
  <si>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</si>
  <si>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</si>
  <si>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</si>
  <si>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</si>
  <si>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</si>
  <si>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</si>
  <si>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</si>
  <si>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</si>
  <si>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</si>
  <si>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</si>
  <si>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</si>
  <si>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</si>
  <si>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</si>
  <si>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</si>
  <si>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</si>
  <si>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</si>
  <si>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</si>
  <si>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</si>
  <si>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</si>
  <si>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</si>
  <si>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</si>
  <si>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</si>
  <si>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</si>
  <si>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</si>
  <si>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</si>
  <si>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</si>
  <si>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</si>
  <si>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</si>
  <si>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</si>
  <si>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</si>
  <si>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</si>
  <si>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</si>
  <si>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</si>
  <si>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</si>
  <si>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</si>
  <si>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</si>
  <si>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</si>
  <si>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</si>
  <si>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</si>
  <si>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</si>
  <si>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</si>
  <si>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</si>
  <si>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</si>
  <si>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</si>
  <si>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</si>
  <si>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</si>
  <si>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</si>
  <si>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</si>
  <si>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</si>
  <si>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</si>
  <si>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</si>
  <si>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</si>
  <si>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</si>
  <si>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</si>
  <si>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</si>
  <si>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</si>
  <si>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</si>
  <si>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</si>
  <si>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</si>
  <si>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</si>
  <si>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</si>
  <si>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</si>
  <si>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</si>
  <si>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</si>
  <si>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</si>
  <si>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</si>
  <si>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</si>
  <si>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</si>
  <si>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</si>
  <si>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</si>
  <si>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</si>
  <si>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</si>
  <si>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</si>
  <si>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</si>
  <si>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</si>
  <si>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</si>
  <si>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</si>
  <si>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</si>
  <si>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</si>
  <si>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</si>
  <si>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</si>
  <si>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</si>
  <si>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</si>
  <si>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</si>
  <si>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</si>
  <si>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</si>
  <si>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</si>
  <si>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</si>
  <si>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</si>
  <si>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</si>
  <si>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</si>
  <si>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</si>
  <si>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</si>
  <si>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</si>
  <si>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</si>
  <si>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</si>
  <si>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</si>
  <si>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</si>
  <si>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</si>
  <si>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</si>
  <si>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</si>
  <si>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</si>
  <si>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</si>
  <si>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</si>
  <si>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</si>
  <si>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</si>
  <si>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</si>
  <si>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</si>
  <si>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</si>
  <si>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</si>
  <si>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</si>
  <si>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</si>
  <si>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</si>
  <si>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</si>
  <si>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</si>
  <si>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</si>
  <si>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</si>
  <si>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</si>
  <si>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</si>
  <si>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</si>
  <si>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</si>
  <si>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</si>
  <si>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</si>
  <si>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</si>
  <si>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</si>
  <si>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</si>
  <si>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</si>
  <si>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</si>
  <si>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</si>
  <si>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</si>
  <si>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</si>
  <si>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</si>
  <si>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</si>
  <si>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</si>
  <si>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</si>
  <si>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</si>
  <si>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</si>
  <si>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</si>
  <si>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</si>
  <si>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</si>
  <si>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</si>
  <si>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</si>
  <si>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</si>
  <si>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</si>
  <si>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</si>
  <si>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</si>
  <si>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</si>
  <si>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</si>
  <si>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</si>
  <si>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</si>
  <si>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</si>
  <si>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</si>
  <si>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</si>
  <si>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</si>
  <si>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</si>
  <si>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</si>
  <si>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</si>
  <si>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</si>
  <si>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</si>
  <si>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</si>
  <si>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</si>
  <si>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</si>
  <si>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</si>
  <si>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</si>
  <si>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</si>
  <si>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</si>
  <si>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</si>
  <si>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</si>
  <si>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</si>
  <si>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</si>
  <si>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</si>
  <si>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</si>
  <si>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</si>
  <si>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</si>
  <si>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</si>
  <si>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</si>
  <si>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</si>
  <si>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</si>
  <si>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</si>
  <si>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</si>
  <si>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</si>
  <si>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</si>
  <si>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</si>
  <si>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</si>
  <si>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</si>
  <si>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</si>
  <si>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</si>
  <si>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</si>
  <si>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</si>
  <si>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</si>
  <si>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</si>
  <si>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</si>
  <si>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</si>
  <si>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</si>
  <si>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</si>
  <si>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</si>
  <si>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</si>
  <si>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</si>
  <si>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</si>
  <si>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</si>
  <si>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</si>
  <si>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</si>
  <si>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</si>
  <si>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</si>
  <si>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</si>
  <si>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</si>
  <si>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</si>
  <si>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</si>
  <si>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</si>
  <si>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</si>
  <si>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</si>
  <si>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</si>
  <si>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</si>
  <si>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</si>
  <si>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</si>
  <si>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</si>
  <si>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</si>
  <si>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</si>
  <si>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</si>
  <si>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</si>
  <si>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</si>
  <si>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</si>
  <si>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</si>
  <si>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</si>
  <si>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</si>
  <si>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</si>
  <si>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</si>
  <si>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</si>
  <si>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</si>
  <si>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</si>
  <si>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</si>
  <si>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</si>
  <si>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</si>
  <si>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</si>
  <si>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</si>
  <si>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</si>
  <si>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</si>
  <si>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</si>
  <si>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</si>
  <si>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</si>
  <si>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</si>
  <si>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</si>
  <si>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</si>
  <si>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</si>
  <si>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</si>
  <si>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</si>
  <si>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</si>
  <si>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</si>
  <si>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</si>
  <si>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</si>
  <si>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</si>
  <si>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</si>
  <si>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</si>
  <si>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</si>
  <si>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</si>
  <si>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</si>
  <si>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</si>
  <si>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</si>
  <si>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</si>
  <si>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</si>
  <si>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</si>
  <si>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</si>
  <si>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</si>
  <si>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</si>
  <si>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</si>
  <si>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</si>
  <si>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</si>
  <si>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</si>
  <si>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</si>
  <si>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</si>
  <si>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</si>
  <si>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</si>
  <si>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</si>
  <si>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</si>
  <si>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</si>
  <si>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</si>
  <si>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</si>
  <si>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</si>
  <si>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</si>
  <si>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</si>
  <si>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</si>
  <si>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</si>
  <si>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</si>
  <si>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</si>
  <si>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</si>
  <si>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</si>
  <si>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</si>
  <si>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</si>
  <si>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</si>
  <si>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</si>
  <si>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</si>
  <si>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</si>
  <si>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</si>
  <si>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</si>
  <si>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</si>
  <si>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</si>
  <si>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</si>
  <si>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</si>
  <si>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</si>
  <si>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</si>
  <si>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</si>
  <si>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</si>
  <si>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</si>
  <si>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</si>
  <si>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</si>
  <si>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</si>
  <si>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</si>
  <si>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</si>
  <si>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</si>
  <si>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</si>
  <si>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</si>
  <si>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</si>
  <si>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</si>
  <si>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</si>
  <si>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</si>
  <si>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</si>
  <si>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</si>
  <si>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</si>
  <si>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</si>
  <si>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</si>
  <si>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</si>
  <si>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</si>
  <si>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</si>
  <si>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</si>
  <si>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</si>
  <si>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</si>
  <si>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</si>
  <si>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</si>
  <si>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</si>
  <si>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</si>
  <si>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</si>
  <si>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</si>
  <si>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</si>
  <si>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</si>
  <si>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</si>
  <si>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</si>
  <si>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</si>
  <si>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</si>
  <si>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</si>
  <si>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</si>
  <si>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</si>
  <si>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</si>
  <si>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</si>
  <si>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</si>
  <si>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</si>
  <si>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</si>
  <si>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</si>
  <si>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</si>
  <si>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</si>
  <si>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</si>
  <si>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</si>
  <si>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</si>
  <si>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</si>
  <si>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</si>
  <si>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</si>
  <si>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</si>
  <si>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</si>
  <si>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</si>
  <si>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</si>
  <si>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</si>
  <si>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</si>
  <si>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</si>
  <si>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</si>
  <si>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</si>
  <si>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</si>
  <si>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</si>
  <si>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</si>
  <si>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</si>
  <si>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</si>
  <si>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</si>
  <si>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</si>
  <si>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</si>
  <si>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</si>
  <si>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</si>
  <si>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</si>
  <si>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</si>
  <si>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</si>
  <si>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</si>
  <si>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</si>
  <si>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</si>
  <si>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</si>
  <si>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</si>
  <si>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</si>
  <si>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</si>
  <si>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</si>
  <si>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</si>
  <si>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</si>
  <si>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</si>
  <si>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</si>
  <si>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</si>
  <si>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</si>
  <si>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</si>
  <si>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</si>
  <si>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</si>
  <si>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</si>
  <si>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</si>
  <si>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</si>
  <si>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</si>
  <si>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</si>
  <si>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</si>
  <si>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</si>
  <si>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</si>
  <si>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</si>
  <si>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</si>
  <si>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</si>
  <si>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</si>
  <si>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</si>
  <si>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</si>
  <si>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</si>
  <si>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</si>
  <si>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</si>
  <si>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</si>
  <si>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</si>
  <si>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</si>
  <si>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</si>
  <si>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</si>
  <si>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</si>
  <si>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</si>
  <si>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</si>
  <si>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</si>
  <si>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</si>
  <si>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</si>
  <si>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</si>
  <si>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</si>
  <si>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</si>
  <si>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</si>
  <si>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</si>
  <si>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</si>
  <si>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</si>
  <si>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</si>
  <si>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</si>
  <si>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</si>
  <si>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</si>
  <si>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</si>
  <si>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</si>
  <si>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</si>
  <si>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</si>
  <si>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</si>
  <si>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</si>
  <si>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</si>
  <si>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</si>
  <si>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</si>
  <si>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</si>
  <si>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</si>
  <si>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</si>
  <si>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</si>
  <si>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</si>
  <si>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</si>
  <si>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</si>
  <si>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</si>
  <si>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</si>
  <si>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</si>
  <si>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</si>
  <si>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</si>
  <si>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</si>
  <si>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</si>
  <si>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</si>
  <si>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</si>
  <si>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</si>
  <si>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</si>
  <si>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</si>
  <si>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</si>
  <si>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</si>
  <si>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</si>
  <si>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</si>
  <si>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</si>
  <si>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</si>
  <si>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</si>
  <si>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</si>
  <si>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</si>
  <si>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</si>
  <si>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</si>
  <si>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</si>
  <si>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</si>
  <si>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</si>
  <si>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</si>
  <si>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</si>
  <si>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</si>
  <si>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</si>
  <si>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</si>
  <si>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</si>
  <si>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</si>
  <si>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</si>
  <si>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</si>
  <si>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</si>
  <si>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</si>
  <si>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</si>
  <si>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</si>
  <si>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</si>
  <si>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</si>
  <si>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</si>
  <si>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</si>
  <si>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</si>
  <si>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</si>
  <si>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</si>
  <si>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</si>
  <si>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</si>
  <si>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</si>
  <si>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</si>
  <si>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</si>
  <si>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</si>
  <si>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</si>
  <si>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</si>
  <si>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</si>
  <si>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</si>
  <si>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</si>
  <si>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</si>
  <si>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</si>
  <si>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</si>
  <si>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</si>
  <si>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</si>
  <si>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</si>
  <si>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</si>
  <si>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</si>
  <si>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</si>
  <si>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</si>
  <si>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</si>
  <si>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</si>
  <si>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</si>
  <si>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</si>
  <si>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</si>
  <si>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</si>
  <si>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</si>
  <si>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</si>
  <si>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</si>
  <si>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</si>
  <si>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</si>
  <si>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</si>
  <si>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</si>
  <si>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</si>
  <si>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</si>
  <si>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</si>
  <si>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</si>
  <si>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</si>
  <si>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</si>
  <si>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</si>
  <si>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</si>
  <si>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</si>
  <si>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</si>
  <si>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</si>
  <si>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</si>
  <si>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</si>
  <si>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</si>
  <si>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</si>
  <si>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</si>
  <si>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</si>
  <si>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</si>
  <si>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</si>
  <si>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</si>
  <si>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</si>
  <si>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</si>
  <si>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</si>
  <si>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</si>
  <si>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</si>
  <si>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</si>
  <si>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</si>
  <si>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</si>
  <si>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</si>
  <si>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</si>
  <si>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</si>
  <si>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</si>
  <si>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</si>
  <si>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</si>
  <si>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</si>
  <si>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</si>
  <si>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</si>
  <si>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</si>
  <si>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</si>
  <si>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</si>
  <si>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</si>
  <si>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</si>
  <si>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</si>
  <si>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</si>
  <si>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</si>
  <si>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</si>
  <si>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</si>
  <si>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</si>
  <si>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</si>
  <si>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</si>
  <si>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</si>
  <si>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</si>
  <si>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</si>
  <si>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</si>
  <si>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</si>
  <si>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</si>
  <si>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</si>
  <si>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</si>
  <si>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</si>
  <si>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</si>
  <si>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</si>
  <si>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</si>
  <si>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</si>
  <si>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</si>
  <si>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</si>
  <si>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</si>
  <si>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</si>
  <si>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</si>
  <si>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</si>
  <si>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</si>
  <si>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</si>
  <si>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</si>
  <si>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</si>
  <si>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</si>
  <si>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</si>
  <si>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</si>
  <si>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</si>
  <si>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</si>
  <si>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</si>
  <si>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</si>
  <si>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</si>
  <si>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</si>
  <si>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</si>
  <si>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</si>
  <si>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</si>
  <si>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</si>
  <si>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</si>
  <si>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</si>
  <si>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</si>
  <si>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</si>
  <si>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</si>
  <si>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</si>
  <si>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</si>
  <si>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</si>
  <si>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</si>
  <si>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</si>
  <si>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</si>
  <si>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</si>
  <si>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</si>
  <si>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</si>
  <si>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</si>
  <si>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</si>
  <si>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</si>
  <si>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</si>
  <si>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</si>
  <si>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</si>
  <si>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</si>
  <si>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</si>
  <si>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</si>
  <si>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</si>
  <si>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</si>
  <si>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</si>
  <si>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</si>
  <si>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</si>
  <si>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</si>
  <si>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</si>
  <si>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</si>
  <si>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</si>
  <si>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</si>
  <si>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</si>
  <si>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</si>
  <si>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</si>
  <si>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</si>
  <si>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</si>
  <si>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</si>
  <si>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</si>
  <si>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</si>
  <si>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</si>
  <si>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</si>
  <si>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</si>
  <si>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</si>
  <si>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</si>
  <si>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</si>
  <si>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</si>
  <si>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</si>
  <si>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</si>
  <si>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</si>
  <si>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</si>
  <si>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</si>
  <si>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</si>
  <si>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</si>
  <si>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</si>
  <si>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</si>
  <si>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</si>
  <si>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</si>
  <si>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</si>
  <si>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</si>
  <si>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</si>
  <si>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</si>
  <si>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</si>
  <si>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</si>
  <si>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</si>
  <si>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</si>
  <si>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</si>
  <si>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</si>
  <si>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</si>
  <si>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</si>
  <si>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</si>
  <si>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</si>
  <si>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</si>
  <si>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</si>
  <si>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</si>
  <si>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</si>
  <si>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</si>
  <si>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</si>
  <si>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</si>
  <si>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</si>
  <si>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</si>
  <si>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</si>
  <si>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</si>
  <si>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</si>
  <si>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</si>
  <si>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</si>
  <si>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</si>
  <si>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</si>
  <si>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</si>
  <si>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</si>
  <si>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</si>
  <si>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</si>
  <si>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</si>
  <si>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</si>
  <si>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</si>
  <si>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</si>
  <si>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</si>
  <si>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</si>
  <si>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</si>
  <si>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</si>
  <si>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</si>
  <si>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</si>
  <si>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</si>
  <si>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</si>
  <si>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</si>
  <si>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</si>
  <si>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</si>
  <si>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</si>
  <si>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</si>
  <si>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</si>
  <si>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</si>
  <si>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</si>
  <si>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</si>
  <si>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</si>
  <si>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</si>
  <si>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</si>
  <si>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</si>
  <si>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</si>
  <si>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</si>
  <si>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</si>
  <si>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</si>
  <si>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</si>
  <si>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</si>
  <si>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</si>
  <si>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</si>
  <si>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</si>
  <si>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</si>
  <si>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</si>
  <si>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</si>
  <si>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</si>
  <si>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</si>
  <si>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</si>
  <si>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</si>
  <si>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</si>
  <si>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</si>
  <si>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</si>
  <si>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</si>
  <si>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</si>
  <si>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</si>
  <si>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</si>
  <si>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</si>
  <si>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</si>
  <si>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</si>
  <si>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</si>
  <si>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</si>
  <si>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</si>
  <si>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</si>
  <si>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</si>
  <si>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</si>
  <si>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</si>
  <si>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</si>
  <si>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</si>
  <si>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</si>
  <si>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</si>
  <si>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</si>
  <si>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</si>
  <si>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</si>
  <si>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</si>
  <si>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</si>
  <si>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</si>
  <si>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</si>
  <si>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</si>
  <si>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</si>
  <si>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</si>
  <si>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</si>
  <si>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</si>
  <si>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</si>
  <si>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</si>
  <si>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</si>
  <si>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</si>
  <si>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</si>
  <si>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</si>
  <si>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</si>
  <si>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</si>
  <si>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</si>
  <si>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</si>
  <si>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</si>
  <si>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</si>
  <si>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</si>
  <si>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</si>
  <si>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</si>
  <si>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</si>
  <si>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</si>
  <si>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</si>
  <si>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</si>
  <si>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</si>
  <si>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</si>
  <si>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</si>
  <si>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</si>
  <si>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</si>
  <si>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</si>
  <si>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</si>
  <si>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</si>
  <si>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</si>
  <si>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</si>
  <si>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</si>
  <si>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</si>
  <si>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</si>
  <si>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</si>
  <si>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</si>
  <si>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</si>
  <si>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</si>
  <si>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</si>
  <si>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</si>
  <si>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</si>
  <si>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</si>
  <si>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</si>
  <si>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</si>
  <si>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</si>
  <si>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</si>
  <si>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</si>
  <si>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</si>
  <si>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</si>
  <si>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</si>
  <si>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</si>
  <si>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</si>
  <si>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</si>
  <si>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</si>
  <si>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</si>
  <si>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</si>
  <si>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</si>
  <si>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</si>
  <si>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</si>
  <si>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</si>
  <si>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</si>
  <si>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</si>
  <si>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</si>
  <si>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</si>
  <si>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</si>
  <si>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</si>
  <si>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</si>
  <si>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</si>
  <si>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</si>
  <si>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</si>
  <si>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</si>
  <si>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</si>
  <si>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</si>
  <si>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</si>
  <si>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</si>
  <si>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</si>
  <si>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</si>
  <si>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</si>
  <si>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</si>
  <si>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</si>
  <si>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</si>
  <si>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</si>
  <si>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</si>
  <si>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</si>
  <si>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</si>
  <si>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</si>
  <si>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</si>
  <si>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</si>
  <si>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</si>
  <si>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</si>
  <si>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</si>
  <si>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</si>
  <si>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</si>
  <si>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</si>
  <si>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</si>
  <si>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</si>
  <si>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</si>
  <si>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</si>
  <si>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</si>
  <si>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</si>
  <si>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</si>
  <si>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</si>
  <si>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</si>
  <si>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</si>
  <si>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</si>
  <si>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</si>
  <si>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</si>
  <si>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</si>
  <si>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</si>
  <si>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</si>
  <si>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</si>
  <si>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</si>
  <si>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</si>
  <si>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</si>
  <si>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</si>
  <si>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</si>
  <si>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</si>
  <si>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</si>
  <si>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</si>
  <si>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</si>
  <si>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</si>
  <si>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</si>
  <si>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</si>
  <si>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</si>
  <si>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</si>
  <si>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</si>
  <si>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</si>
  <si>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</si>
  <si>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</si>
  <si>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</si>
  <si>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</si>
  <si>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</si>
  <si>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</si>
  <si>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</si>
  <si>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</si>
  <si>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</si>
  <si>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</si>
  <si>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</si>
  <si>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</si>
  <si>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</si>
  <si>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</si>
  <si>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</si>
  <si>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</si>
  <si>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</si>
  <si>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</si>
  <si>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</si>
  <si>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</si>
  <si>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</si>
  <si>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</si>
  <si>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</si>
  <si>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</si>
  <si>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</si>
  <si>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</si>
  <si>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</si>
  <si>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</si>
  <si>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</si>
  <si>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</si>
  <si>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</si>
  <si>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</si>
  <si>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</si>
  <si>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</si>
  <si>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</si>
  <si>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</si>
  <si>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</si>
  <si>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</si>
  <si>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</si>
  <si>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</si>
  <si>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</si>
  <si>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</si>
  <si>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</si>
  <si>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</si>
  <si>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</si>
  <si>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</si>
  <si>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</si>
  <si>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</si>
  <si>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</si>
  <si>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</si>
  <si>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</si>
  <si>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</si>
  <si>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</si>
  <si>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</si>
  <si>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</si>
  <si>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</si>
  <si>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</si>
  <si>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</si>
  <si>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</si>
  <si>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</si>
  <si>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</si>
  <si>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</si>
  <si>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</si>
  <si>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</si>
  <si>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</si>
  <si>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</si>
  <si>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</si>
  <si>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</si>
  <si>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</si>
  <si>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</si>
  <si>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</si>
  <si>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</si>
  <si>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</si>
  <si>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</si>
  <si>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</si>
  <si>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</si>
  <si>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</si>
  <si>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</si>
  <si>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</si>
  <si>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</si>
  <si>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</si>
  <si>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</si>
  <si>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</si>
  <si>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</si>
  <si>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</si>
  <si>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</si>
  <si>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</si>
  <si>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</si>
  <si>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</si>
  <si>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</si>
  <si>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</si>
  <si>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</si>
  <si>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</si>
  <si>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</si>
  <si>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</si>
  <si>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</si>
  <si>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</si>
  <si>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</si>
  <si>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</si>
  <si>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</si>
  <si>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</si>
  <si>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</si>
  <si>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</si>
  <si>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</si>
  <si>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</si>
  <si>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</si>
  <si>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</si>
  <si>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</si>
  <si>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</si>
  <si>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</si>
  <si>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</si>
  <si>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</si>
  <si>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</si>
  <si>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</si>
  <si>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</si>
  <si>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</si>
  <si>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</si>
  <si>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</si>
  <si>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</si>
  <si>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</si>
  <si>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</si>
  <si>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</si>
  <si>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</si>
  <si>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</si>
  <si>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</si>
  <si>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</si>
  <si>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</si>
  <si>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</si>
  <si>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</si>
  <si>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</si>
  <si>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</si>
  <si>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</si>
  <si>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</si>
  <si>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</si>
  <si>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</si>
  <si>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</si>
  <si>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</si>
  <si>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</si>
  <si>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</si>
  <si>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</si>
  <si>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</si>
  <si>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</si>
  <si>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</si>
  <si>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</si>
  <si>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</si>
  <si>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</si>
  <si>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</si>
  <si>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</si>
  <si>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</si>
  <si>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</si>
  <si>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</si>
  <si>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</si>
  <si>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</si>
  <si>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</si>
  <si>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</si>
  <si>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</si>
  <si>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</si>
  <si>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</si>
  <si>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</si>
  <si>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</si>
  <si>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</si>
  <si>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</si>
  <si>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</si>
  <si>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</si>
  <si>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</si>
  <si>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</si>
  <si>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</si>
  <si>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</si>
  <si>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</si>
  <si>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</si>
  <si>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</si>
  <si>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</si>
  <si>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</si>
  <si>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</si>
  <si>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</si>
  <si>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</si>
  <si>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</si>
  <si>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</si>
  <si>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</si>
  <si>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</si>
  <si>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</si>
  <si>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</si>
  <si>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</si>
  <si>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</si>
  <si>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</si>
  <si>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</si>
  <si>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</si>
  <si>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</si>
  <si>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</si>
  <si>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</si>
  <si>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</si>
  <si>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</si>
  <si>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</si>
  <si>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</si>
  <si>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</si>
  <si>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</si>
  <si>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</si>
  <si>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</si>
  <si>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</si>
  <si>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</si>
  <si>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</si>
  <si>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</si>
  <si>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</si>
  <si>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</si>
  <si>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</si>
  <si>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</si>
  <si>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</si>
  <si>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</si>
  <si>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</si>
  <si>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</si>
  <si>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</si>
  <si>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</si>
  <si>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</si>
  <si>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</si>
  <si>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</si>
  <si>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</si>
  <si>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</si>
  <si>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</si>
  <si>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</si>
  <si>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</si>
  <si>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</si>
  <si>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</si>
  <si>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</si>
  <si>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</si>
  <si>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</si>
  <si>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</si>
  <si>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</si>
  <si>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</si>
  <si>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</si>
  <si>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</si>
  <si>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</si>
  <si>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</si>
  <si>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</si>
  <si>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</si>
  <si>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</si>
  <si>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</si>
  <si>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</si>
  <si>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</si>
  <si>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</si>
  <si>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</si>
  <si>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</si>
  <si>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</si>
  <si>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</si>
  <si>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</si>
  <si>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</si>
  <si>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</si>
  <si>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</si>
  <si>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</si>
  <si>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</si>
  <si>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</si>
  <si>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</si>
  <si>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</si>
  <si>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</si>
  <si>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</si>
  <si>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</si>
  <si>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</si>
  <si>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</si>
  <si>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</si>
  <si>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</si>
  <si>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</si>
  <si>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</si>
  <si>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</si>
  <si>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</si>
  <si>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</si>
  <si>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</si>
  <si>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</si>
  <si>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</si>
  <si>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</si>
  <si>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</si>
  <si>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</si>
  <si>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</si>
  <si>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</si>
  <si>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</si>
  <si>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</si>
  <si>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</si>
  <si>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</si>
  <si>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</si>
  <si>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</si>
  <si>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</si>
  <si>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</si>
  <si>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</si>
  <si>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</si>
  <si>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</si>
  <si>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</si>
  <si>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</si>
  <si>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</si>
  <si>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</si>
  <si>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</si>
  <si>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</si>
  <si>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</si>
  <si>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</si>
  <si>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</si>
  <si>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</si>
  <si>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</si>
  <si>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</si>
  <si>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</si>
  <si>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</si>
  <si>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</si>
  <si>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</si>
  <si>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</si>
  <si>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</si>
  <si>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</si>
  <si>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</si>
  <si>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</si>
  <si>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</si>
  <si>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</si>
  <si>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</si>
  <si>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</si>
  <si>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</si>
  <si>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</si>
  <si>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</si>
  <si>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</si>
  <si>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</si>
  <si>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</si>
  <si>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</si>
  <si>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</si>
  <si>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</si>
  <si>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</si>
  <si>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</si>
  <si>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</si>
  <si>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</si>
  <si>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</si>
  <si>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</si>
  <si>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</si>
  <si>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</si>
  <si>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</si>
  <si>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</si>
  <si>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</si>
  <si>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</si>
  <si>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</si>
  <si>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</si>
  <si>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</si>
  <si>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</si>
  <si>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</si>
  <si>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</si>
  <si>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</si>
  <si>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</si>
  <si>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</si>
  <si>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</si>
  <si>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</si>
  <si>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</si>
  <si>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</si>
  <si>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</si>
  <si>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</si>
  <si>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</si>
  <si>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</si>
  <si>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</si>
  <si>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</si>
  <si>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</si>
  <si>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</si>
  <si>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</si>
  <si>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</si>
  <si>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</si>
  <si>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</si>
  <si>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</si>
  <si>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</si>
  <si>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</si>
  <si>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</si>
  <si>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</si>
  <si>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</si>
  <si>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</si>
  <si>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</si>
  <si>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</si>
  <si>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</si>
  <si>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</si>
  <si>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</si>
  <si>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</si>
  <si>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</si>
  <si>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</si>
  <si>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</si>
  <si>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</si>
  <si>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</si>
  <si>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</si>
  <si>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</si>
  <si>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</si>
  <si>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</si>
  <si>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</si>
  <si>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</si>
  <si>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</si>
  <si>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</si>
  <si>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</si>
  <si>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</si>
  <si>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</si>
  <si>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</si>
  <si>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</si>
  <si>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</si>
  <si>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</si>
  <si>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</si>
  <si>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</si>
  <si>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</si>
  <si>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</si>
  <si>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</si>
  <si>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</si>
  <si>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</si>
  <si>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</si>
  <si>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</si>
  <si>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</si>
  <si>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</si>
  <si>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</si>
  <si>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</si>
  <si>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</si>
  <si>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</si>
  <si>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</si>
  <si>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</si>
  <si>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</si>
  <si>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</si>
  <si>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</si>
  <si>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</si>
  <si>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</si>
  <si>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</si>
  <si>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</si>
  <si>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</si>
  <si>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</si>
  <si>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</si>
  <si>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</si>
  <si>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</si>
  <si>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</si>
  <si>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</si>
  <si>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</si>
  <si>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</si>
  <si>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</si>
  <si>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</si>
  <si>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</si>
  <si>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</si>
  <si>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</si>
  <si>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</si>
  <si>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</si>
  <si>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</si>
  <si>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</si>
  <si>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</si>
  <si>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</si>
  <si>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</si>
  <si>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</si>
  <si>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</si>
  <si>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</si>
  <si>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</si>
  <si>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</si>
  <si>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</si>
  <si>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</si>
  <si>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</si>
  <si>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</si>
  <si>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</si>
  <si>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</si>
  <si>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</si>
  <si>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</si>
  <si>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</si>
  <si>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</si>
  <si>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</si>
  <si>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</si>
  <si>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</si>
  <si>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</si>
  <si>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</si>
  <si>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</si>
  <si>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</si>
  <si>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</si>
  <si>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</si>
  <si>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</si>
  <si>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</si>
  <si>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</si>
  <si>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</si>
  <si>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</si>
  <si>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</si>
  <si>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</si>
  <si>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</si>
  <si>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</si>
  <si>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</si>
  <si>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</si>
  <si>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</si>
  <si>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</si>
  <si>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</si>
  <si>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</si>
  <si>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</si>
  <si>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</si>
  <si>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</si>
  <si>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</si>
  <si>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</si>
  <si>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</si>
  <si>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</si>
  <si>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</si>
  <si>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</si>
  <si>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</si>
  <si>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</si>
  <si>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</si>
  <si>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</si>
  <si>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</si>
  <si>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</si>
  <si>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</si>
  <si>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</si>
  <si>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</si>
  <si>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</si>
  <si>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</si>
  <si>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</si>
  <si>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</si>
  <si>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</si>
  <si>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</si>
  <si>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</si>
  <si>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</si>
  <si>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</si>
  <si>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</si>
  <si>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</si>
  <si>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</si>
  <si>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</si>
  <si>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</si>
  <si>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</si>
  <si>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</si>
  <si>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</si>
  <si>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</si>
  <si>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</si>
  <si>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</si>
  <si>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</si>
  <si>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</si>
  <si>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</si>
  <si>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</si>
  <si>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</si>
  <si>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</si>
  <si>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</si>
  <si>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</si>
  <si>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</si>
  <si>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</si>
  <si>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</si>
  <si>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</si>
  <si>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</si>
  <si>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</si>
  <si>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</si>
  <si>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</si>
  <si>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</si>
  <si>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</si>
  <si>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</si>
  <si>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</si>
  <si>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</si>
  <si>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</si>
  <si>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</si>
  <si>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</si>
  <si>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</si>
  <si>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</si>
  <si>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</si>
  <si>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</si>
  <si>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</si>
  <si>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</si>
  <si>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</si>
  <si>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</si>
  <si>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</si>
  <si>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</si>
  <si>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</si>
  <si>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</si>
  <si>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</si>
  <si>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</si>
  <si>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</si>
  <si>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</si>
  <si>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</si>
  <si>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</si>
  <si>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</si>
  <si>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</si>
  <si>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</si>
  <si>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</si>
  <si>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</si>
  <si>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</si>
  <si>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</si>
  <si>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</si>
  <si>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</si>
  <si>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</si>
  <si>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</si>
  <si>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</si>
  <si>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</si>
  <si>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</si>
  <si>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</si>
  <si>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</si>
  <si>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</si>
  <si>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</si>
  <si>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</si>
  <si>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</si>
  <si>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</si>
  <si>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</si>
  <si>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</si>
  <si>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</si>
  <si>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</si>
  <si>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</si>
  <si>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</si>
  <si>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</si>
  <si>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</si>
  <si>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</si>
  <si>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</si>
  <si>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</si>
  <si>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</si>
  <si>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</si>
  <si>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</si>
  <si>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</si>
  <si>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</si>
  <si>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</si>
  <si>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</si>
  <si>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</si>
  <si>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</si>
  <si>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</si>
  <si>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</si>
  <si>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</si>
  <si>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</si>
  <si>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</si>
  <si>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</si>
  <si>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</si>
  <si>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</si>
  <si>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</si>
  <si>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</si>
  <si>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</si>
  <si>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</si>
  <si>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</si>
  <si>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</si>
  <si>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</si>
  <si>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</si>
  <si>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</si>
  <si>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</si>
  <si>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</si>
  <si>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</si>
  <si>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</si>
  <si>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</si>
  <si>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</si>
  <si>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</si>
  <si>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</si>
  <si>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</si>
  <si>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</si>
  <si>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</si>
  <si>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</si>
  <si>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</si>
  <si>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</si>
  <si>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</si>
  <si>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</si>
  <si>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</si>
  <si>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</si>
  <si>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</si>
  <si>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</si>
  <si>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</si>
  <si>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</si>
  <si>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</si>
  <si>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</si>
  <si>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</si>
  <si>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</si>
  <si>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</si>
  <si>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</si>
  <si>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</si>
  <si>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</si>
  <si>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</si>
  <si>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</si>
  <si>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</si>
  <si>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</si>
  <si>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</si>
  <si>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</si>
  <si>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</si>
  <si>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</si>
  <si>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</si>
  <si>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</si>
  <si>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</si>
  <si>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</si>
  <si>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</si>
  <si>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</si>
  <si>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</si>
  <si>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</si>
  <si>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</si>
  <si>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</si>
  <si>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</si>
  <si>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</si>
  <si>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</si>
  <si>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</si>
  <si>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</si>
  <si>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</si>
  <si>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</si>
  <si>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</si>
  <si>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</si>
  <si>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</si>
  <si>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</si>
  <si>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</si>
  <si>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</si>
  <si>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</si>
  <si>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</si>
  <si>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</si>
  <si>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</si>
  <si>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</si>
  <si>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</si>
  <si>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</si>
  <si>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</si>
  <si>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</si>
  <si>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</si>
  <si>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</si>
  <si>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</si>
  <si>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</si>
  <si>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</si>
  <si>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</si>
  <si>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</si>
  <si>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</si>
  <si>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</si>
  <si>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</si>
  <si>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</si>
  <si>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</si>
  <si>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</si>
  <si>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</si>
  <si>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</si>
  <si>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</si>
  <si>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</si>
  <si>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</si>
  <si>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</si>
  <si>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</si>
  <si>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</si>
  <si>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</si>
  <si>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</si>
  <si>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</si>
  <si>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</si>
  <si>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</si>
  <si>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</si>
  <si>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</si>
  <si>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</si>
  <si>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</si>
  <si>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</si>
  <si>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</si>
  <si>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</si>
  <si>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</si>
  <si>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</si>
  <si>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</si>
  <si>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</si>
  <si>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</si>
  <si>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</si>
  <si>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</si>
  <si>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</si>
  <si>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</si>
  <si>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</si>
  <si>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</si>
  <si>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</si>
  <si>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</si>
  <si>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</si>
  <si>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</si>
  <si>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</si>
  <si>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</si>
  <si>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</si>
  <si>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</si>
  <si>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</si>
  <si>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</si>
  <si>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</si>
  <si>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</si>
  <si>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</si>
  <si>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</si>
  <si>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</si>
  <si>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</si>
  <si>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</si>
  <si>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</si>
  <si>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</si>
  <si>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</si>
  <si>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</si>
  <si>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</si>
  <si>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</si>
  <si>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</si>
  <si>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</si>
  <si>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</si>
  <si>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</si>
  <si>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</si>
  <si>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</si>
  <si>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</si>
  <si>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</si>
  <si>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</si>
  <si>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</si>
  <si>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</si>
  <si>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</si>
  <si>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</si>
  <si>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</si>
  <si>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</si>
  <si>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</si>
  <si>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</si>
  <si>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</si>
  <si>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</si>
  <si>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</si>
  <si>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</si>
  <si>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</si>
  <si>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</si>
  <si>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</si>
  <si>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</si>
  <si>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</si>
  <si>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</si>
  <si>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</si>
  <si>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</si>
  <si>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</si>
  <si>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</si>
  <si>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</si>
  <si>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</si>
  <si>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</si>
  <si>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</si>
  <si>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</si>
  <si>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</si>
  <si>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</si>
  <si>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</si>
  <si>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</si>
  <si>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</si>
  <si>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</si>
  <si>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</si>
  <si>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</si>
  <si>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</si>
  <si>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</si>
  <si>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</si>
  <si>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</si>
  <si>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</si>
  <si>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</si>
  <si>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</si>
  <si>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</si>
  <si>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</si>
  <si>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</si>
  <si>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</si>
  <si>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</si>
  <si>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</si>
  <si>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</si>
  <si>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</si>
  <si>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</si>
  <si>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</si>
  <si>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</si>
  <si>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</si>
  <si>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</si>
  <si>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</si>
  <si>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</si>
  <si>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</si>
  <si>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</si>
  <si>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</si>
  <si>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</si>
  <si>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</si>
  <si>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</si>
  <si>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</si>
  <si>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</si>
  <si>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</si>
  <si>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</si>
  <si>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</si>
  <si>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</si>
  <si>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</si>
  <si>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</si>
  <si>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</si>
  <si>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</si>
  <si>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</si>
  <si>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</si>
  <si>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</si>
  <si>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</si>
  <si>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</si>
  <si>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</si>
  <si>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</si>
  <si>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</si>
  <si>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</si>
  <si>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</si>
  <si>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</si>
  <si>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</si>
  <si>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</si>
  <si>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</si>
  <si>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</si>
  <si>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</si>
  <si>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</si>
  <si>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</si>
  <si>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</si>
  <si>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</si>
  <si>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</si>
  <si>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</si>
  <si>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</si>
  <si>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</si>
  <si>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</si>
  <si>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</si>
  <si>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</si>
  <si>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</si>
  <si>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</si>
  <si>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</si>
  <si>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</si>
  <si>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</si>
  <si>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</si>
  <si>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</si>
  <si>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</si>
  <si>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</si>
  <si>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</si>
  <si>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</si>
  <si>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</si>
  <si>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</si>
  <si>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</si>
  <si>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</si>
  <si>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</si>
  <si>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</si>
  <si>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</si>
  <si>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</si>
  <si>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</si>
  <si>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</si>
  <si>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</si>
  <si>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</si>
  <si>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</si>
  <si>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</si>
  <si>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</si>
  <si>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</si>
  <si>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</si>
  <si>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</si>
  <si>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</si>
  <si>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</si>
  <si>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</si>
  <si>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</si>
  <si>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</si>
  <si>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</si>
  <si>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</si>
  <si>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</si>
  <si>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</si>
  <si>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</si>
  <si>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</si>
  <si>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</si>
  <si>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</si>
  <si>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</si>
  <si>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</si>
  <si>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</si>
  <si>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</si>
  <si>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</si>
  <si>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</si>
  <si>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</si>
  <si>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</si>
  <si>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</si>
  <si>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</si>
  <si>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</si>
  <si>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</si>
  <si>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</si>
  <si>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</si>
  <si>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</si>
  <si>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</si>
  <si>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</si>
  <si>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</si>
  <si>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</si>
  <si>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</si>
  <si>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</si>
  <si>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</si>
  <si>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</si>
  <si>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</si>
  <si>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</si>
  <si>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</si>
  <si>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</si>
  <si>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</si>
  <si>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</si>
  <si>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</si>
  <si>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</si>
  <si>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</si>
  <si>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</si>
  <si>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</si>
  <si>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</si>
  <si>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</si>
  <si>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</si>
  <si>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</si>
  <si>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</si>
  <si>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</si>
  <si>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</si>
  <si>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</si>
  <si>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</si>
  <si>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</si>
  <si>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</si>
  <si>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</si>
  <si>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</si>
  <si>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</si>
  <si>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</si>
  <si>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</si>
  <si>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</si>
  <si>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</si>
  <si>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</si>
  <si>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</si>
  <si>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</si>
  <si>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</si>
  <si>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</si>
  <si>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</si>
  <si>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</si>
  <si>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</si>
  <si>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</si>
  <si>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</si>
  <si>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</si>
  <si>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</si>
  <si>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</si>
  <si>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</si>
  <si>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</si>
  <si>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</si>
  <si>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</si>
  <si>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</si>
  <si>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</si>
  <si>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</si>
  <si>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</si>
  <si>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</si>
  <si>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</si>
  <si>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</si>
  <si>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</si>
  <si>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</si>
  <si>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</si>
  <si>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</si>
  <si>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</si>
  <si>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</si>
  <si>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</si>
  <si>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</si>
  <si>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</si>
  <si>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</si>
  <si>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</si>
  <si>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</si>
  <si>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</si>
  <si>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</si>
  <si>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</si>
  <si>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</si>
  <si>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</si>
  <si>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</si>
  <si>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</si>
  <si>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</si>
  <si>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</si>
  <si>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</si>
  <si>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</si>
  <si>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</si>
  <si>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</si>
  <si>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</si>
  <si>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</si>
  <si>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</si>
  <si>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</si>
  <si>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</si>
  <si>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</si>
  <si>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</si>
  <si>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</si>
  <si>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</si>
  <si>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</si>
  <si>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</si>
  <si>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</si>
  <si>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</si>
  <si>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</si>
  <si>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</si>
  <si>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</si>
  <si>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</si>
  <si>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</si>
  <si>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</si>
  <si>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</si>
  <si>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</si>
  <si>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</si>
  <si>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</si>
  <si>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</si>
  <si>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</si>
  <si>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</si>
  <si>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</si>
  <si>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</si>
  <si>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</si>
  <si>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</si>
  <si>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</si>
  <si>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</si>
  <si>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</si>
  <si>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</si>
  <si>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</si>
  <si>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</si>
  <si>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</si>
  <si>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</si>
  <si>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</si>
  <si>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</si>
  <si>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</si>
  <si>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</si>
  <si>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</si>
  <si>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</si>
  <si>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</si>
  <si>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</si>
  <si>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</si>
  <si>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</si>
  <si>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</si>
  <si>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</si>
  <si>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</si>
  <si>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</si>
  <si>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</si>
  <si>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</si>
  <si>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</si>
  <si>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</si>
  <si>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</si>
  <si>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</si>
  <si>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</si>
  <si>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</si>
  <si>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</si>
  <si>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</si>
  <si>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</si>
  <si>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</si>
  <si>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</si>
  <si>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</si>
  <si>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</si>
  <si>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</si>
  <si>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</si>
  <si>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</si>
  <si>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</si>
  <si>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</si>
  <si>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</si>
  <si>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</si>
  <si>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</si>
  <si>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</si>
  <si>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</si>
  <si>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</si>
  <si>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</si>
  <si>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</si>
  <si>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</si>
  <si>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</si>
  <si>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</si>
  <si>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</si>
  <si>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</si>
  <si>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</si>
  <si>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</si>
  <si>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</si>
  <si>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</si>
  <si>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</si>
  <si>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</si>
  <si>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</si>
  <si>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</si>
  <si>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</si>
  <si>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</si>
  <si>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</si>
  <si>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</si>
  <si>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</si>
  <si>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</si>
  <si>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</si>
  <si>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</si>
  <si>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</si>
  <si>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</si>
  <si>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</si>
  <si>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</si>
  <si>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</si>
  <si>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</si>
  <si>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</si>
  <si>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</si>
  <si>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</si>
  <si>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</si>
  <si>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</si>
  <si>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</si>
  <si>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</si>
  <si>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</si>
  <si>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</si>
  <si>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</si>
  <si>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</si>
  <si>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</si>
  <si>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</si>
  <si>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</si>
  <si>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</si>
  <si>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</si>
  <si>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</si>
  <si>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</si>
  <si>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</si>
  <si>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</si>
  <si>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</si>
  <si>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</si>
  <si>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</si>
  <si>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</si>
  <si>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</si>
  <si>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</si>
  <si>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</si>
  <si>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</si>
  <si>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</si>
  <si>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</si>
  <si>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</si>
  <si>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</si>
  <si>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</si>
  <si>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</si>
  <si>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</si>
  <si>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</si>
  <si>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</si>
  <si>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</si>
  <si>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</si>
  <si>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</si>
  <si>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</si>
  <si>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</si>
  <si>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</si>
  <si>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</si>
  <si>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</si>
  <si>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</si>
  <si>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</si>
  <si>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</si>
  <si>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</si>
  <si>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</si>
  <si>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</si>
  <si>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</si>
  <si>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</si>
  <si>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</si>
  <si>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</si>
  <si>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</si>
  <si>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</si>
  <si>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</si>
  <si>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</si>
  <si>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</si>
  <si>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</si>
  <si>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</si>
  <si>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</si>
  <si>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</si>
  <si>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</si>
  <si>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</si>
  <si>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</si>
  <si>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</si>
  <si>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</si>
  <si>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</si>
  <si>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</si>
  <si>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</si>
  <si>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</si>
  <si>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</si>
  <si>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</si>
  <si>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</si>
  <si>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</si>
  <si>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</si>
  <si>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</si>
  <si>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</si>
  <si>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</si>
  <si>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</si>
  <si>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</si>
  <si>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</si>
  <si>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</si>
  <si>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</si>
  <si>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</si>
  <si>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</si>
  <si>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</si>
  <si>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</si>
  <si>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</si>
  <si>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</si>
  <si>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</si>
  <si>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</si>
  <si>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</si>
  <si>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</si>
  <si>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</si>
  <si>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</si>
  <si>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</si>
  <si>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</si>
  <si>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</si>
  <si>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</si>
  <si>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</si>
  <si>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</si>
  <si>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</si>
  <si>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</si>
  <si>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</si>
  <si>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</si>
  <si>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</si>
  <si>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</si>
  <si>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</si>
  <si>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</si>
  <si>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</si>
  <si>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</si>
  <si>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</si>
  <si>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</si>
  <si>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</si>
  <si>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</si>
  <si>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</si>
  <si>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</si>
  <si>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</si>
  <si>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</si>
  <si>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</si>
  <si>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</si>
  <si>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</si>
  <si>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</si>
  <si>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</si>
  <si>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</si>
  <si>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</si>
  <si>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</si>
  <si>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</si>
  <si>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</si>
  <si>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</si>
  <si>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</si>
  <si>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</si>
  <si>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</si>
  <si>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</si>
  <si>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</si>
  <si>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</si>
  <si>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</si>
  <si>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</si>
  <si>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</si>
  <si>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</si>
  <si>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</si>
  <si>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</si>
  <si>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</si>
  <si>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</si>
  <si>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</si>
  <si>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</si>
  <si>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</si>
  <si>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</si>
  <si>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</si>
  <si>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</si>
  <si>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</si>
  <si>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</si>
  <si>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</si>
  <si>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</si>
  <si>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</si>
  <si>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</si>
  <si>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</si>
  <si>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</si>
  <si>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</si>
  <si>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</si>
  <si>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</si>
  <si>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</si>
  <si>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</si>
  <si>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</si>
  <si>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</si>
  <si>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</si>
  <si>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</si>
  <si>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</si>
  <si>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</si>
  <si>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</si>
  <si>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</si>
  <si>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</si>
  <si>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</si>
  <si>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</si>
  <si>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</si>
  <si>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</si>
  <si>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</si>
  <si>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</si>
  <si>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</si>
  <si>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</si>
  <si>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</si>
  <si>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</si>
  <si>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</si>
  <si>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</si>
  <si>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</si>
  <si>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</si>
  <si>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</si>
  <si>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</si>
  <si>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</si>
  <si>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</si>
  <si>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</si>
  <si>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</si>
  <si>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</si>
  <si>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</si>
  <si>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</si>
  <si>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</si>
  <si>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</si>
  <si>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</si>
  <si>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</si>
  <si>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</si>
  <si>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</si>
  <si>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</si>
  <si>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</si>
  <si>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</si>
  <si>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</si>
  <si>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</si>
  <si>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</si>
  <si>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</si>
  <si>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</si>
  <si>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</si>
  <si>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</si>
  <si>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</si>
  <si>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</si>
  <si>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</si>
  <si>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</si>
  <si>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</si>
  <si>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</si>
  <si>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</si>
  <si>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</si>
  <si>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</si>
  <si>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</si>
  <si>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</si>
  <si>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</si>
  <si>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</si>
  <si>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</si>
  <si>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</si>
  <si>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</si>
  <si>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</si>
  <si>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</si>
  <si>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</si>
  <si>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</si>
  <si>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</si>
  <si>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</si>
  <si>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</si>
  <si>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</si>
  <si>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</si>
  <si>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</si>
  <si>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</si>
  <si>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</si>
  <si>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</si>
  <si>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</si>
  <si>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</si>
  <si>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</si>
  <si>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</si>
  <si>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</si>
  <si>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</si>
  <si>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</si>
  <si>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</si>
  <si>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</si>
  <si>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</si>
  <si>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</si>
  <si>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</si>
  <si>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</si>
  <si>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</si>
  <si>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</si>
  <si>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</si>
  <si>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</si>
  <si>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</si>
  <si>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</si>
  <si>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</si>
  <si>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</si>
  <si>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</si>
  <si>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</si>
  <si>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</si>
  <si>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</si>
  <si>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</si>
  <si>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</si>
  <si>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</si>
  <si>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</si>
  <si>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</si>
  <si>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</si>
  <si>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</si>
  <si>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</si>
  <si>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</si>
  <si>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</si>
  <si>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</si>
  <si>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</si>
  <si>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</si>
  <si>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</si>
  <si>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</si>
  <si>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</si>
  <si>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</si>
  <si>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</si>
  <si>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</si>
  <si>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</si>
  <si>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</si>
  <si>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</si>
  <si>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</si>
  <si>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</si>
  <si>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</si>
  <si>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</si>
  <si>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</si>
  <si>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</si>
  <si>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</si>
  <si>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</si>
  <si>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</si>
  <si>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</si>
  <si>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</si>
  <si>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</si>
  <si>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</si>
  <si>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</si>
  <si>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</si>
  <si>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</si>
  <si>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</si>
  <si>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</si>
  <si>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</si>
  <si>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</si>
  <si>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</si>
  <si>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</si>
  <si>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</si>
  <si>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</si>
  <si>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</si>
  <si>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</si>
  <si>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</si>
  <si>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</si>
  <si>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</si>
  <si>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</si>
  <si>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</si>
  <si>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</si>
  <si>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</si>
  <si>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</si>
  <si>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</si>
  <si>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</si>
  <si>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</si>
  <si>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</si>
  <si>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</si>
  <si>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</si>
  <si>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</si>
  <si>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</si>
  <si>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</si>
  <si>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</si>
  <si>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</si>
  <si>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</si>
  <si>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</si>
  <si>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</si>
  <si>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</si>
  <si>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</si>
  <si>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</si>
  <si>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</si>
  <si>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</si>
  <si>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</si>
  <si>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</si>
  <si>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</si>
  <si>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</si>
  <si>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</si>
  <si>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</si>
  <si>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</si>
  <si>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</si>
  <si>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</si>
  <si>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</si>
  <si>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</si>
  <si>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</si>
  <si>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</si>
  <si>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</si>
  <si>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</si>
  <si>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</si>
  <si>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</si>
  <si>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</si>
  <si>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</si>
  <si>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</si>
  <si>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</si>
  <si>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</si>
  <si>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</si>
  <si>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</si>
  <si>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</si>
  <si>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</si>
  <si>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</si>
  <si>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</si>
  <si>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</si>
  <si>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</si>
  <si>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</si>
  <si>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</si>
  <si>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</si>
  <si>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</si>
  <si>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</si>
  <si>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</si>
  <si>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</si>
  <si>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</si>
  <si>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</si>
  <si>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</si>
  <si>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</si>
  <si>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</si>
  <si>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</si>
  <si>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</si>
  <si>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</si>
  <si>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</si>
  <si>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</si>
  <si>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</si>
  <si>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</si>
  <si>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</si>
  <si>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</si>
  <si>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</si>
  <si>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</si>
  <si>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</si>
  <si>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</si>
  <si>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</si>
  <si>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</si>
  <si>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</si>
  <si>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</si>
  <si>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</si>
  <si>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</si>
  <si>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</si>
  <si>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</si>
  <si>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</si>
  <si>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</si>
  <si>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</si>
  <si>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</si>
  <si>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</si>
  <si>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</si>
  <si>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</si>
  <si>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</si>
  <si>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</si>
  <si>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</si>
  <si>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</si>
  <si>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</si>
  <si>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</si>
  <si>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</si>
  <si>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</si>
  <si>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</si>
  <si>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</si>
  <si>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</si>
  <si>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</si>
  <si>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</si>
  <si>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</si>
  <si>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</si>
  <si>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</si>
  <si>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</si>
  <si>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</si>
  <si>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</si>
  <si>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</si>
  <si>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</si>
  <si>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</si>
  <si>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</si>
  <si>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</si>
  <si>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</si>
  <si>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</si>
  <si>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</si>
  <si>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</si>
  <si>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</si>
  <si>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</si>
  <si>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</si>
  <si>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</si>
  <si>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</si>
  <si>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</si>
  <si>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</si>
  <si>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</si>
  <si>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</si>
  <si>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</si>
  <si>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</si>
  <si>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</si>
  <si>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</si>
  <si>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</si>
  <si>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</si>
  <si>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</si>
  <si>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</si>
  <si>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</si>
  <si>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</si>
  <si>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</si>
  <si>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</si>
  <si>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</si>
  <si>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</si>
  <si>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</si>
  <si>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</si>
  <si>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</si>
  <si>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</si>
  <si>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</si>
  <si>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</si>
  <si>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</si>
  <si>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</si>
  <si>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</si>
  <si>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</si>
  <si>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</si>
  <si>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</si>
  <si>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</si>
  <si>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</si>
  <si>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</si>
  <si>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</si>
  <si>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</si>
  <si>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</si>
  <si>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</si>
  <si>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</si>
  <si>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</si>
  <si>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</si>
  <si>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</si>
  <si>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</si>
  <si>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</si>
  <si>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</si>
  <si>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</si>
  <si>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</si>
  <si>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</si>
  <si>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</si>
  <si>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</si>
  <si>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</si>
  <si>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</si>
  <si>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</si>
  <si>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</si>
  <si>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</si>
  <si>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</si>
  <si>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</si>
  <si>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</si>
  <si>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</si>
  <si>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</si>
  <si>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</si>
  <si>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</si>
  <si>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</si>
  <si>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</si>
  <si>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</si>
  <si>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</si>
  <si>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</si>
  <si>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</si>
  <si>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</si>
  <si>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</si>
  <si>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</si>
  <si>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</si>
  <si>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</si>
  <si>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</si>
  <si>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</si>
  <si>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</si>
  <si>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</si>
  <si>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</si>
  <si>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</si>
  <si>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</si>
  <si>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</si>
  <si>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</si>
  <si>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</si>
  <si>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</si>
  <si>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</si>
  <si>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</si>
  <si>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</si>
  <si>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</si>
  <si>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</si>
  <si>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</si>
  <si>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</si>
  <si>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</si>
  <si>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</si>
  <si>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</si>
  <si>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</si>
  <si>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</si>
  <si>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</si>
  <si>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</si>
  <si>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</si>
  <si>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</si>
  <si>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</si>
  <si>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</si>
  <si>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</si>
  <si>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</si>
  <si>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</si>
  <si>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</si>
  <si>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</si>
  <si>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</si>
  <si>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</si>
  <si>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</si>
  <si>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</si>
  <si>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</si>
  <si>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</si>
  <si>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</si>
  <si>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</si>
  <si>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</si>
  <si>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</si>
  <si>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</si>
  <si>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</si>
  <si>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</si>
  <si>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</si>
  <si>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</si>
  <si>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</si>
  <si>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</si>
  <si>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</si>
  <si>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</si>
  <si>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</si>
  <si>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</si>
  <si>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</si>
  <si>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</si>
  <si>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</si>
  <si>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</si>
  <si>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</si>
  <si>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</si>
  <si>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</si>
  <si>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</si>
  <si>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</si>
  <si>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</si>
  <si>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</si>
  <si>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</si>
  <si>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</si>
  <si>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</si>
  <si>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</si>
  <si>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</si>
  <si>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</si>
  <si>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</si>
  <si>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</si>
  <si>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</si>
  <si>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</si>
  <si>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</si>
  <si>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</si>
  <si>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</si>
  <si>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</si>
  <si>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</si>
  <si>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</si>
  <si>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</si>
  <si>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</si>
  <si>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</si>
  <si>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</si>
  <si>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</si>
  <si>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</si>
  <si>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</si>
  <si>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</si>
  <si>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</si>
  <si>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</si>
  <si>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</si>
  <si>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</si>
  <si>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</si>
  <si>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</si>
  <si>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</si>
  <si>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</si>
  <si>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</si>
  <si>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</si>
  <si>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</si>
  <si>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</si>
  <si>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</si>
  <si>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</si>
  <si>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</si>
  <si>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</si>
  <si>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</si>
  <si>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</si>
  <si>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</si>
  <si>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</si>
  <si>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</si>
  <si>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</si>
  <si>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</si>
  <si>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</si>
  <si>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</si>
  <si>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</si>
  <si>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</si>
  <si>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</si>
  <si>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</si>
  <si>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</si>
  <si>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</si>
  <si>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</si>
  <si>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</si>
  <si>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</si>
  <si>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</si>
  <si>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</si>
  <si>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</si>
  <si>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</si>
  <si>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</si>
  <si>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</si>
  <si>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</si>
  <si>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</si>
  <si>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</si>
  <si>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</si>
  <si>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</si>
  <si>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</si>
  <si>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</si>
  <si>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</si>
  <si>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</si>
  <si>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</si>
  <si>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</si>
  <si>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</si>
  <si>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</si>
  <si>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</si>
  <si>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</si>
  <si>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</si>
  <si>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</si>
  <si>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</si>
  <si>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</si>
  <si>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</si>
  <si>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</si>
  <si>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</si>
  <si>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</si>
  <si>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</si>
  <si>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</si>
  <si>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</si>
  <si>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</si>
  <si>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</si>
  <si>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</si>
  <si>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</si>
  <si>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</si>
  <si>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</si>
  <si>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</si>
  <si>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</si>
  <si>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</si>
  <si>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</si>
  <si>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</si>
  <si>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</si>
  <si>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</si>
  <si>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</si>
  <si>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</si>
  <si>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</si>
  <si>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</si>
  <si>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</si>
  <si>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</si>
  <si>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</si>
  <si>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</si>
  <si>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</si>
  <si>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</si>
  <si>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</si>
  <si>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</si>
  <si>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</si>
  <si>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</si>
  <si>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</si>
  <si>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</si>
  <si>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</si>
  <si>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</si>
  <si>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</si>
  <si>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</si>
  <si>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</si>
  <si>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</si>
  <si>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</si>
  <si>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</si>
  <si>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</si>
  <si>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</si>
  <si>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</si>
  <si>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</si>
  <si>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</si>
  <si>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</si>
  <si>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</si>
  <si>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</si>
  <si>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</si>
  <si>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</si>
  <si>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</si>
  <si>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</si>
  <si>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</si>
  <si>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</si>
  <si>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</si>
  <si>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</si>
  <si>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</si>
  <si>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</si>
  <si>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</si>
  <si>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</si>
  <si>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</si>
  <si>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</si>
  <si>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</si>
  <si>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</si>
  <si>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</si>
  <si>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</si>
  <si>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</si>
  <si>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</si>
  <si>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</si>
  <si>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</si>
  <si>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</si>
  <si>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</si>
  <si>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</si>
  <si>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</si>
  <si>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</si>
  <si>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</si>
  <si>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</si>
  <si>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</si>
  <si>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</si>
  <si>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</si>
  <si>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</si>
  <si>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</si>
  <si>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</si>
  <si>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</si>
  <si>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</si>
  <si>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</si>
  <si>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</si>
  <si>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</si>
  <si>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</si>
  <si>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</si>
  <si>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</si>
  <si>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</si>
  <si>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</si>
  <si>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</si>
  <si>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</si>
  <si>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</si>
  <si>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</si>
  <si>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</si>
  <si>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</si>
  <si>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</si>
  <si>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</si>
  <si>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</si>
  <si>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</si>
  <si>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</si>
  <si>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</si>
  <si>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</si>
  <si>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</si>
  <si>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</si>
  <si>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</si>
  <si>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</si>
  <si>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</si>
  <si>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</si>
  <si>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</si>
  <si>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</si>
  <si>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</si>
  <si>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</si>
  <si>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</si>
  <si>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</si>
  <si>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</si>
  <si>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</si>
  <si>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</si>
  <si>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</si>
  <si>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</si>
  <si>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</si>
  <si>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</si>
  <si>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</si>
  <si>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</si>
  <si>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</si>
  <si>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</si>
  <si>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</si>
  <si>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</si>
  <si>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</si>
  <si>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</si>
  <si>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</si>
  <si>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</si>
  <si>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</si>
  <si>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</si>
  <si>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</si>
  <si>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</si>
  <si>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</si>
  <si>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</si>
  <si>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</si>
  <si>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</si>
  <si>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</si>
  <si>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</si>
  <si>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</si>
  <si>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</si>
  <si>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</si>
  <si>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</si>
  <si>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</si>
  <si>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</si>
  <si>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</si>
  <si>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</si>
  <si>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</si>
  <si>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</si>
  <si>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</si>
  <si>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</si>
  <si>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</si>
  <si>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</si>
  <si>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</si>
  <si>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</si>
  <si>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</si>
  <si>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</si>
  <si>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</si>
  <si>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</si>
  <si>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</si>
  <si>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</si>
  <si>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</si>
  <si>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</si>
  <si>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</si>
  <si>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</si>
  <si>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</si>
  <si>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</si>
  <si>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</si>
  <si>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</si>
  <si>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</si>
  <si>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</si>
  <si>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</si>
  <si>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</si>
  <si>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</si>
  <si>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</si>
  <si>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</si>
  <si>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</si>
  <si>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</si>
  <si>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</si>
  <si>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</si>
  <si>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</si>
  <si>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</si>
  <si>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</si>
  <si>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</si>
  <si>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</si>
  <si>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</si>
  <si>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</si>
  <si>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</si>
  <si>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</si>
  <si>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</si>
  <si>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</si>
  <si>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</si>
  <si>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</si>
  <si>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</si>
  <si>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</si>
  <si>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</si>
  <si>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</si>
  <si>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</si>
  <si>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</si>
  <si>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</si>
  <si>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</si>
  <si>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</si>
  <si>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</si>
  <si>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</si>
  <si>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</si>
  <si>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</si>
  <si>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</si>
  <si>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</si>
  <si>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</si>
  <si>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</si>
  <si>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</si>
  <si>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</si>
  <si>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</si>
  <si>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</si>
  <si>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</si>
  <si>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</si>
  <si>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</si>
  <si>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</si>
  <si>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</si>
  <si>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</si>
  <si>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</si>
  <si>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</si>
  <si>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</si>
  <si>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</si>
  <si>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</si>
  <si>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</si>
  <si>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</si>
  <si>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</si>
  <si>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</si>
  <si>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</si>
  <si>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</si>
  <si>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</si>
  <si>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</si>
  <si>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</si>
  <si>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</si>
  <si>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</si>
  <si>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</si>
  <si>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</si>
  <si>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</si>
  <si>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</si>
  <si>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</si>
  <si>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</si>
  <si>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</si>
  <si>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</si>
  <si>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</si>
  <si>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</si>
  <si>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</si>
  <si>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</si>
  <si>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</si>
  <si>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</si>
  <si>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</si>
  <si>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</si>
  <si>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</si>
  <si>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</si>
  <si>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</si>
  <si>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</si>
  <si>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</si>
  <si>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</si>
  <si>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</si>
  <si>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</si>
  <si>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</si>
  <si>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</si>
  <si>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</si>
  <si>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</si>
  <si>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</si>
  <si>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</si>
  <si>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</si>
  <si>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</si>
  <si>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</si>
  <si>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</si>
  <si>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</si>
  <si>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</si>
  <si>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</si>
  <si>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</si>
  <si>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</si>
  <si>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</si>
  <si>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</si>
  <si>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</si>
  <si>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</si>
  <si>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</si>
  <si>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</si>
  <si>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</si>
  <si>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</si>
  <si>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</si>
  <si>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</si>
  <si>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</si>
  <si>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</si>
  <si>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</si>
  <si>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</si>
  <si>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</si>
  <si>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</si>
  <si>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</si>
  <si>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</si>
  <si>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</si>
  <si>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</si>
  <si>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</si>
  <si>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</si>
  <si>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</si>
  <si>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</si>
  <si>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</si>
  <si>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</si>
  <si>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</si>
  <si>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</si>
  <si>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</si>
  <si>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</si>
  <si>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</si>
  <si>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</si>
  <si>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</si>
  <si>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</si>
  <si>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</si>
  <si>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</si>
  <si>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</si>
  <si>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</si>
  <si>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</si>
  <si>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</si>
  <si>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</si>
  <si>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</si>
  <si>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</si>
  <si>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</si>
  <si>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</si>
  <si>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</si>
  <si>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</si>
  <si>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</si>
  <si>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</si>
  <si>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</si>
  <si>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</si>
  <si>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</si>
  <si>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</si>
  <si>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</si>
  <si>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</si>
  <si>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</si>
  <si>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</si>
  <si>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</si>
  <si>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</si>
  <si>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</si>
  <si>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</si>
  <si>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</si>
  <si>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</si>
  <si>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</si>
  <si>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</si>
  <si>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</si>
  <si>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</si>
  <si>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</si>
  <si>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</si>
  <si>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</si>
  <si>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</si>
  <si>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</si>
  <si>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</si>
  <si>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</si>
  <si>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</si>
  <si>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</si>
  <si>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</si>
  <si>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</si>
  <si>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</si>
  <si>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</si>
  <si>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</si>
  <si>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</si>
  <si>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</si>
  <si>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</si>
  <si>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</si>
  <si>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</si>
  <si>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</si>
  <si>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</si>
  <si>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</si>
  <si>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</si>
  <si>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</si>
  <si>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</si>
  <si>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</si>
  <si>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</si>
  <si>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</si>
  <si>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</si>
  <si>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</si>
  <si>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</si>
  <si>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</si>
  <si>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</si>
  <si>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</si>
  <si>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</si>
  <si>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</si>
  <si>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</si>
  <si>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</si>
  <si>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</si>
  <si>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</si>
  <si>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</si>
  <si>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</si>
  <si>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</si>
  <si>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</si>
  <si>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</si>
  <si>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</si>
  <si>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</si>
  <si>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</si>
  <si>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</si>
  <si>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</si>
  <si>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</si>
  <si>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</si>
  <si>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</si>
  <si>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</si>
  <si>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</si>
  <si>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</si>
  <si>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</si>
  <si>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</si>
  <si>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</si>
  <si>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</si>
  <si>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</si>
  <si>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</si>
  <si>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</si>
  <si>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</si>
  <si>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</si>
  <si>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</si>
  <si>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</si>
  <si>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</si>
  <si>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</si>
  <si>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</si>
  <si>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</si>
  <si>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</si>
  <si>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</si>
  <si>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</si>
  <si>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</si>
  <si>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</si>
  <si>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</si>
  <si>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</si>
  <si>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</si>
  <si>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</si>
  <si>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</si>
  <si>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</si>
  <si>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</si>
  <si>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</si>
  <si>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</si>
  <si>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</si>
  <si>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</si>
  <si>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</si>
  <si>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</si>
  <si>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</si>
  <si>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</si>
  <si>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</si>
  <si>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</si>
  <si>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</si>
  <si>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</si>
  <si>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</si>
  <si>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</si>
  <si>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</si>
  <si>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</si>
  <si>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</si>
  <si>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</si>
  <si>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</si>
  <si>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</si>
  <si>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</si>
  <si>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</si>
  <si>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</si>
  <si>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</si>
  <si>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</si>
  <si>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</si>
  <si>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</si>
  <si>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</si>
  <si>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</si>
  <si>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</si>
  <si>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</si>
  <si>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</si>
  <si>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</si>
  <si>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</si>
  <si>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</si>
  <si>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</si>
  <si>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</si>
  <si>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</si>
  <si>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</si>
  <si>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</si>
  <si>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</si>
  <si>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</si>
  <si>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</si>
  <si>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</si>
  <si>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</si>
  <si>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</si>
  <si>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</si>
  <si>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</si>
  <si>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</si>
  <si>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</si>
  <si>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</si>
  <si>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</si>
  <si>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</si>
  <si>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</si>
  <si>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</si>
  <si>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</si>
  <si>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</si>
  <si>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</si>
  <si>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</si>
  <si>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</si>
  <si>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</si>
  <si>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</si>
  <si>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</si>
  <si>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</si>
  <si>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</si>
  <si>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</si>
  <si>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</si>
  <si>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</si>
  <si>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</si>
  <si>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</si>
  <si>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</si>
  <si>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</si>
  <si>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</si>
  <si>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</si>
  <si>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</si>
  <si>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</si>
  <si>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</si>
  <si>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</si>
  <si>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</si>
  <si>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</si>
  <si>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</si>
  <si>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</si>
  <si>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</si>
  <si>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</si>
  <si>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</si>
  <si>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</si>
  <si>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</si>
  <si>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</si>
  <si>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</si>
  <si>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</si>
  <si>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</si>
  <si>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</si>
  <si>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</si>
  <si>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</si>
  <si>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</si>
  <si>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</si>
  <si>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</si>
  <si>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</si>
  <si>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</si>
  <si>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</si>
  <si>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</si>
  <si>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</si>
  <si>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</si>
  <si>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</si>
  <si>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</si>
  <si>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</si>
  <si>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</si>
  <si>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</si>
  <si>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</si>
  <si>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</si>
  <si>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</si>
  <si>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</si>
  <si>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</si>
  <si>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</si>
  <si>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</si>
  <si>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</si>
  <si>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</si>
  <si>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</si>
  <si>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</si>
  <si>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</si>
  <si>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</si>
  <si>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</si>
  <si>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</si>
  <si>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</si>
  <si>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</si>
  <si>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</si>
  <si>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</si>
  <si>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</si>
  <si>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</si>
  <si>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</si>
  <si>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</si>
  <si>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</si>
  <si>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</si>
  <si>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</si>
  <si>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</si>
  <si>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</si>
  <si>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</si>
  <si>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</si>
  <si>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</si>
  <si>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</si>
  <si>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</si>
  <si>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</si>
  <si>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</si>
  <si>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</si>
  <si>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</si>
  <si>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</si>
  <si>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</si>
  <si>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</si>
  <si>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</si>
  <si>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</si>
  <si>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</si>
  <si>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</si>
  <si>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</si>
  <si>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</si>
  <si>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</si>
  <si>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</si>
  <si>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</si>
  <si>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</si>
  <si>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</si>
  <si>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</si>
  <si>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</si>
  <si>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</si>
  <si>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</si>
  <si>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</si>
  <si>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</si>
  <si>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</si>
  <si>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</si>
  <si>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</si>
  <si>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</si>
  <si>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</si>
  <si>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</si>
  <si>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</si>
  <si>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</si>
  <si>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</si>
  <si>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</si>
  <si>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</si>
  <si>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</si>
  <si>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</si>
  <si>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</si>
  <si>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</si>
  <si>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</si>
  <si>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</si>
  <si>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</si>
  <si>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</si>
  <si>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</si>
  <si>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</si>
  <si>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</si>
  <si>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</si>
  <si>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</si>
  <si>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</si>
  <si>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</si>
  <si>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</si>
  <si>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</si>
  <si>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</si>
  <si>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</si>
  <si>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</si>
  <si>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</si>
  <si>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</si>
  <si>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</si>
  <si>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</si>
  <si>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</si>
  <si>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</si>
  <si>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</si>
  <si>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</si>
  <si>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</si>
  <si>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</si>
  <si>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</si>
  <si>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</si>
  <si>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</si>
  <si>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</si>
  <si>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</si>
  <si>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</si>
  <si>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</si>
  <si>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</si>
  <si>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</si>
  <si>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</si>
  <si>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</si>
  <si>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</si>
  <si>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</si>
  <si>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</si>
  <si>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</si>
  <si>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</si>
  <si>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</si>
  <si>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</si>
  <si>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</si>
  <si>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</si>
  <si>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</si>
  <si>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</si>
  <si>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</si>
  <si>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</si>
  <si>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</si>
  <si>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</si>
  <si>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</si>
  <si>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</si>
  <si>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</si>
  <si>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</si>
  <si>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</si>
  <si>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</si>
  <si>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</si>
  <si>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</si>
  <si>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</si>
  <si>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</si>
  <si>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</si>
  <si>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</si>
  <si>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</si>
  <si>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</si>
  <si>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</si>
  <si>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</si>
  <si>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</si>
  <si>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</si>
  <si>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</si>
  <si>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</si>
  <si>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</si>
  <si>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</si>
  <si>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</si>
  <si>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</si>
  <si>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</si>
  <si>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</si>
  <si>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</si>
  <si>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</si>
  <si>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</si>
  <si>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</si>
  <si>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</si>
  <si>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</si>
  <si>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</si>
  <si>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</si>
  <si>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</si>
  <si>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</si>
  <si>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</si>
  <si>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</si>
  <si>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</si>
  <si>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</si>
  <si>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</si>
  <si>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</si>
  <si>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</si>
  <si>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</si>
  <si>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</si>
  <si>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</si>
  <si>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</si>
  <si>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</si>
  <si>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</si>
  <si>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</si>
  <si>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</si>
  <si>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</si>
  <si>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</si>
  <si>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</si>
  <si>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</si>
  <si>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</si>
  <si>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</si>
  <si>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</si>
  <si>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</si>
  <si>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</si>
  <si>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</si>
  <si>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</si>
  <si>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</si>
  <si>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</si>
  <si>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</si>
  <si>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</si>
  <si>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</si>
  <si>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</si>
  <si>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</si>
  <si>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</si>
  <si>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</si>
  <si>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</si>
  <si>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</si>
  <si>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</si>
  <si>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</si>
  <si>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</si>
  <si>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</si>
  <si>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</si>
  <si>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</si>
  <si>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</si>
  <si>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</si>
  <si>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</si>
  <si>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</si>
  <si>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</si>
  <si>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</si>
  <si>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</si>
  <si>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</si>
  <si>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</si>
  <si>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</si>
  <si>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</si>
  <si>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</si>
  <si>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</si>
  <si>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</si>
  <si>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</si>
  <si>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</si>
  <si>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</si>
  <si>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</si>
  <si>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</si>
  <si>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</si>
  <si>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</si>
  <si>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</si>
  <si>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</si>
  <si>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</si>
  <si>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</si>
  <si>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</si>
  <si>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</si>
  <si>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</si>
  <si>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</si>
  <si>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</si>
  <si>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</si>
  <si>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</si>
  <si>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</si>
  <si>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</si>
  <si>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</si>
  <si>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</si>
  <si>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</si>
  <si>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</si>
  <si>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</si>
  <si>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</si>
  <si>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</si>
  <si>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</si>
  <si>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</si>
  <si>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</si>
  <si>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</si>
  <si>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</si>
  <si>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</si>
  <si>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</si>
  <si>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</si>
  <si>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</si>
  <si>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</si>
  <si>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</si>
  <si>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</si>
  <si>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</si>
  <si>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</si>
  <si>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</si>
  <si>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</si>
  <si>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</si>
  <si>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</si>
  <si>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</si>
  <si>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</si>
  <si>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</si>
  <si>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</si>
  <si>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</si>
  <si>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</si>
  <si>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</si>
  <si>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</si>
  <si>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</si>
  <si>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</si>
  <si>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</si>
  <si>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</si>
  <si>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</si>
  <si>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</si>
  <si>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</si>
  <si>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</si>
  <si>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</si>
  <si>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</si>
  <si>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</si>
  <si>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</si>
  <si>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</si>
  <si>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</si>
  <si>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</si>
  <si>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</si>
  <si>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</si>
  <si>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</si>
  <si>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</si>
  <si>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</si>
  <si>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</si>
  <si>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</si>
  <si>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</si>
  <si>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</si>
  <si>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</si>
  <si>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</si>
  <si>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</si>
  <si>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</si>
  <si>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</si>
  <si>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</si>
  <si>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</si>
  <si>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</si>
  <si>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</si>
  <si>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</si>
  <si>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</si>
  <si>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</si>
  <si>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</si>
  <si>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</si>
  <si>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</si>
  <si>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</si>
  <si>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</si>
  <si>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</si>
  <si>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</si>
  <si>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</si>
  <si>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</si>
  <si>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</si>
  <si>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</si>
  <si>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</si>
  <si>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</si>
  <si>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</si>
  <si>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</si>
  <si>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</si>
  <si>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</si>
  <si>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</si>
  <si>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</si>
  <si>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</si>
  <si>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</si>
  <si>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</si>
  <si>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</si>
  <si>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</si>
  <si>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</si>
  <si>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</si>
  <si>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</si>
  <si>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</si>
  <si>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</si>
  <si>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</si>
  <si>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</si>
  <si>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</si>
  <si>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</si>
  <si>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</si>
  <si>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</si>
  <si>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</si>
  <si>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</si>
  <si>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</si>
  <si>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</si>
  <si>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</si>
  <si>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</si>
  <si>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</si>
  <si>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</si>
  <si>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</si>
  <si>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</si>
  <si>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</si>
  <si>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</si>
  <si>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</si>
  <si>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</si>
  <si>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</si>
  <si>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</si>
  <si>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</si>
  <si>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</si>
  <si>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</si>
  <si>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</si>
  <si>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</si>
  <si>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</si>
  <si>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</si>
  <si>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</si>
  <si>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</si>
  <si>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</si>
  <si>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</si>
  <si>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</si>
  <si>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</si>
  <si>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</si>
  <si>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</si>
  <si>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</si>
  <si>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</si>
  <si>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</si>
  <si>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</si>
  <si>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</si>
  <si>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</si>
  <si>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</si>
  <si>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</si>
  <si>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</si>
  <si>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</si>
  <si>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</si>
  <si>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</si>
  <si>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</si>
  <si>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</si>
  <si>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</si>
  <si>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</si>
  <si>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</si>
  <si>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</si>
  <si>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</si>
  <si>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</si>
  <si>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</si>
  <si>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</si>
  <si>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</si>
  <si>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</si>
  <si>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</si>
  <si>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</si>
  <si>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</si>
  <si>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</si>
  <si>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</si>
  <si>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</si>
  <si>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</si>
  <si>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</si>
  <si>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</si>
  <si>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</si>
  <si>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</si>
  <si>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</si>
  <si>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</si>
  <si>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</si>
  <si>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</si>
  <si>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</si>
  <si>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</si>
  <si>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</si>
  <si>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</si>
  <si>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</si>
  <si>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</si>
  <si>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</si>
  <si>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</si>
  <si>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</si>
  <si>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</si>
  <si>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</si>
  <si>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</si>
  <si>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</si>
  <si>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</si>
  <si>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</si>
  <si>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</si>
  <si>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</si>
  <si>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</si>
  <si>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</si>
  <si>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</si>
  <si>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</si>
  <si>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</si>
  <si>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</si>
  <si>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</si>
  <si>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</si>
  <si>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</si>
  <si>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</si>
  <si>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</si>
  <si>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</si>
  <si>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</si>
  <si>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</si>
  <si>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</si>
  <si>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</si>
  <si>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</si>
  <si>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</si>
  <si>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</si>
  <si>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</si>
  <si>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</si>
  <si>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</si>
  <si>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</si>
  <si>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</si>
  <si>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</si>
  <si>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</si>
  <si>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</si>
  <si>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</si>
  <si>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</si>
  <si>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</si>
  <si>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</si>
  <si>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</si>
  <si>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</si>
  <si>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</si>
  <si>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</si>
  <si>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</si>
  <si>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</si>
  <si>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</si>
  <si>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</si>
  <si>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</si>
  <si>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</si>
  <si>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</si>
  <si>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</si>
  <si>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</si>
  <si>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</si>
  <si>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</si>
  <si>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</si>
  <si>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</si>
  <si>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</si>
  <si>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</si>
  <si>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</si>
  <si>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</si>
  <si>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</si>
  <si>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</si>
  <si>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</si>
  <si>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</si>
  <si>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</si>
  <si>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</si>
  <si>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</si>
  <si>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</si>
  <si>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</si>
  <si>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</si>
  <si>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</si>
  <si>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</si>
  <si>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</si>
  <si>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</si>
  <si>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</si>
  <si>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</si>
  <si>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</si>
  <si>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</si>
  <si>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</si>
  <si>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</si>
  <si>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</si>
  <si>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</si>
  <si>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</si>
  <si>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</si>
  <si>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</si>
  <si>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</si>
  <si>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</si>
  <si>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</si>
  <si>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</si>
  <si>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</si>
  <si>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</si>
  <si>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</si>
  <si>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</si>
  <si>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</si>
  <si>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</si>
  <si>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</si>
  <si>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</si>
  <si>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</si>
  <si>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</si>
  <si>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</si>
  <si>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</si>
  <si>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</si>
  <si>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</si>
  <si>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</si>
  <si>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</si>
  <si>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</si>
  <si>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</si>
  <si>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</si>
  <si>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</si>
  <si>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</si>
  <si>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</si>
  <si>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</si>
  <si>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</si>
  <si>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</si>
  <si>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</si>
  <si>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</si>
  <si>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</si>
  <si>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</si>
  <si>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</si>
  <si>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</si>
  <si>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</si>
  <si>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</si>
  <si>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</si>
  <si>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</si>
  <si>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</si>
  <si>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</si>
  <si>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</si>
  <si>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</si>
  <si>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</si>
  <si>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</si>
  <si>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</si>
  <si>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</si>
  <si>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</si>
  <si>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</si>
  <si>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</si>
  <si>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</si>
  <si>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</si>
  <si>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</si>
  <si>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</si>
  <si>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</si>
  <si>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</si>
  <si>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</si>
  <si>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</si>
  <si>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</si>
  <si>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</si>
  <si>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</si>
  <si>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</si>
  <si>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</si>
  <si>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</si>
  <si>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</si>
  <si>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</si>
  <si>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</si>
  <si>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</si>
  <si>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</si>
  <si>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</si>
  <si>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</si>
  <si>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</si>
  <si>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</si>
  <si>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</si>
  <si>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</si>
  <si>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</si>
  <si>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</si>
  <si>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</si>
  <si>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</si>
  <si>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</si>
  <si>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</si>
  <si>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</si>
  <si>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</si>
  <si>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</si>
  <si>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</si>
  <si>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</si>
  <si>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</si>
  <si>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</si>
  <si>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</si>
  <si>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</si>
  <si>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</si>
  <si>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</si>
  <si>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</si>
  <si>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</si>
  <si>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</si>
  <si>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</si>
  <si>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</si>
  <si>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</si>
  <si>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</si>
  <si>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</si>
  <si>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</si>
  <si>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</si>
  <si>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</si>
  <si>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</si>
  <si>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</si>
  <si>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</si>
  <si>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</si>
  <si>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</si>
  <si>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</si>
  <si>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</si>
  <si>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</si>
  <si>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</si>
  <si>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</si>
  <si>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</si>
  <si>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</si>
  <si>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</si>
  <si>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</si>
  <si>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</si>
  <si>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</si>
  <si>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</si>
  <si>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</si>
  <si>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</si>
  <si>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</si>
  <si>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</si>
  <si>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</si>
  <si>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</si>
  <si>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</si>
  <si>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</si>
  <si>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</si>
  <si>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</si>
  <si>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</si>
  <si>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</si>
  <si>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</si>
  <si>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</si>
  <si>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</si>
  <si>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</si>
  <si>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</si>
  <si>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</si>
  <si>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</si>
  <si>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</si>
  <si>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</si>
  <si>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</si>
  <si>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</si>
  <si>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</si>
  <si>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</si>
  <si>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</si>
  <si>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</si>
  <si>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</si>
  <si>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</si>
  <si>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</si>
  <si>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</si>
  <si>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</si>
  <si>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</si>
  <si>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</si>
  <si>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</si>
  <si>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</si>
  <si>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</si>
  <si>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</si>
  <si>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</si>
  <si>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</si>
  <si>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</si>
  <si>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</si>
  <si>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</si>
  <si>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</si>
  <si>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</si>
  <si>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</si>
  <si>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</si>
  <si>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</si>
  <si>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</si>
  <si>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</si>
  <si>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</si>
  <si>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</si>
  <si>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</si>
  <si>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</si>
  <si>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</si>
  <si>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</si>
  <si>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</si>
  <si>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</si>
  <si>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</si>
  <si>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</si>
  <si>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</si>
  <si>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</si>
  <si>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</si>
  <si>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</si>
  <si>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</si>
  <si>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</si>
  <si>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</si>
  <si>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</si>
  <si>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</si>
  <si>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</si>
  <si>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</si>
  <si>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</si>
  <si>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</si>
  <si>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</si>
  <si>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</si>
  <si>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</si>
  <si>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</si>
  <si>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</si>
  <si>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</si>
  <si>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</si>
  <si>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</si>
  <si>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</si>
  <si>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</si>
  <si>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</si>
  <si>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</si>
  <si>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</si>
  <si>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</si>
  <si>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</si>
  <si>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</si>
  <si>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</si>
  <si>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</si>
  <si>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</si>
  <si>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</si>
  <si>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</si>
  <si>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</si>
  <si>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</si>
  <si>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</si>
  <si>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</si>
  <si>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</si>
  <si>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</si>
  <si>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</si>
  <si>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</si>
  <si>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</si>
  <si>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</si>
  <si>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</si>
  <si>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</si>
  <si>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</si>
  <si>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</si>
  <si>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</si>
  <si>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</si>
  <si>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</si>
  <si>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</si>
  <si>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</si>
  <si>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</si>
  <si>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</si>
  <si>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</si>
  <si>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</si>
  <si>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</si>
  <si>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</si>
  <si>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</si>
  <si>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</si>
  <si>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</si>
  <si>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</si>
  <si>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</si>
  <si>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</si>
  <si>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</si>
  <si>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</si>
  <si>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</si>
  <si>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</si>
  <si>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</si>
  <si>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</si>
  <si>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</si>
  <si>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</si>
  <si>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</si>
  <si>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</si>
  <si>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</si>
  <si>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</si>
  <si>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</si>
  <si>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</si>
  <si>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</si>
  <si>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</si>
  <si>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</si>
  <si>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</si>
  <si>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</si>
  <si>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</si>
  <si>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</si>
  <si>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</si>
  <si>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</si>
  <si>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</si>
  <si>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</si>
  <si>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</si>
  <si>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</si>
  <si>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</si>
  <si>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</si>
  <si>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</si>
  <si>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</si>
  <si>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</si>
  <si>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</si>
  <si>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</si>
  <si>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</si>
  <si>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</si>
  <si>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</si>
  <si>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</si>
  <si>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</si>
  <si>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</si>
  <si>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</si>
  <si>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</si>
  <si>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</si>
  <si>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</si>
  <si>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</si>
  <si>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</si>
  <si>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</si>
  <si>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</si>
  <si>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</si>
  <si>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</si>
  <si>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</si>
  <si>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</si>
  <si>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</si>
  <si>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</si>
  <si>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</si>
  <si>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</si>
  <si>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</si>
  <si>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</si>
  <si>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</si>
  <si>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</si>
  <si>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</si>
  <si>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</si>
  <si>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</si>
  <si>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</si>
  <si>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</si>
  <si>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</si>
  <si>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</si>
  <si>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</si>
  <si>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</si>
  <si>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</si>
  <si>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</si>
  <si>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</si>
  <si>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</si>
  <si>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</si>
  <si>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</si>
  <si>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</si>
  <si>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</si>
  <si>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</si>
  <si>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</si>
  <si>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</si>
  <si>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</si>
  <si>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</si>
  <si>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</si>
  <si>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</si>
  <si>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</si>
  <si>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</si>
  <si>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</si>
  <si>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</si>
  <si>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</si>
  <si>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</si>
  <si>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</si>
  <si>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</si>
  <si>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</si>
  <si>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</si>
  <si>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</si>
  <si>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</si>
  <si>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</si>
  <si>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</si>
  <si>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</si>
  <si>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</si>
  <si>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</si>
  <si>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</si>
  <si>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</si>
  <si>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</si>
  <si>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</si>
  <si>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</si>
  <si>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</si>
  <si>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</si>
  <si>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</si>
  <si>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</si>
  <si>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</si>
  <si>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</si>
  <si>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</si>
  <si>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</si>
  <si>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</si>
  <si>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</si>
  <si>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</si>
  <si>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</si>
  <si>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</si>
  <si>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</si>
  <si>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</si>
  <si>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</si>
  <si>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</si>
  <si>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</si>
  <si>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</si>
  <si>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</si>
  <si>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</si>
  <si>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</si>
  <si>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</si>
  <si>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</si>
  <si>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</si>
  <si>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</si>
  <si>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</si>
  <si>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</si>
  <si>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</si>
  <si>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</si>
  <si>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</si>
  <si>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</si>
  <si>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</si>
  <si>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</si>
  <si>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</si>
  <si>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</si>
  <si>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</si>
  <si>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</si>
  <si>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</si>
  <si>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</si>
  <si>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</si>
  <si>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</si>
  <si>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</si>
  <si>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</si>
  <si>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</si>
  <si>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</si>
  <si>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</si>
  <si>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</si>
  <si>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</si>
  <si>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</si>
  <si>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</si>
  <si>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</si>
  <si>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</si>
  <si>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</si>
  <si>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</si>
  <si>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</si>
  <si>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</si>
  <si>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</si>
  <si>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</si>
  <si>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</si>
  <si>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</si>
  <si>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</si>
  <si>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</si>
  <si>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</si>
  <si>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</si>
  <si>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</si>
  <si>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</si>
  <si>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</si>
  <si>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</si>
  <si>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</si>
  <si>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</si>
  <si>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</si>
  <si>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</si>
  <si>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</si>
  <si>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</si>
  <si>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</si>
  <si>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</si>
  <si>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</si>
  <si>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</si>
  <si>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</si>
  <si>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</si>
  <si>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</si>
  <si>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</si>
  <si>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</si>
  <si>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</si>
  <si>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</si>
  <si>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</si>
  <si>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</si>
  <si>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</si>
  <si>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</si>
  <si>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</si>
  <si>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</si>
  <si>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</si>
  <si>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</si>
  <si>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</si>
  <si>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</si>
  <si>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</si>
  <si>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</si>
  <si>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</si>
  <si>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</si>
  <si>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</si>
  <si>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</si>
  <si>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</si>
  <si>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</si>
  <si>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</si>
  <si>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</si>
  <si>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</si>
  <si>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</si>
  <si>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</si>
  <si>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</si>
  <si>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</si>
  <si>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</si>
  <si>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</si>
  <si>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</si>
  <si>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</si>
  <si>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</si>
  <si>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</si>
  <si>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</si>
  <si>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</si>
  <si>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</si>
  <si>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</si>
  <si>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</si>
  <si>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</si>
  <si>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</si>
  <si>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</si>
  <si>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</si>
  <si>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</si>
  <si>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</si>
  <si>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</si>
  <si>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</si>
  <si>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</si>
  <si>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</si>
  <si>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</si>
  <si>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</si>
  <si>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</si>
  <si>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</si>
  <si>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</si>
  <si>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</si>
  <si>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</si>
  <si>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</si>
  <si>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</si>
  <si>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</si>
  <si>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</si>
  <si>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</si>
  <si>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</si>
  <si>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</si>
  <si>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</si>
  <si>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</si>
  <si>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</si>
  <si>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</si>
  <si>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</si>
  <si>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</si>
  <si>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</si>
  <si>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</si>
  <si>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</si>
  <si>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</si>
  <si>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</si>
  <si>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</si>
  <si>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</si>
  <si>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</si>
  <si>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</si>
  <si>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</si>
  <si>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</si>
  <si>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</si>
  <si>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</si>
  <si>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</si>
  <si>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</si>
  <si>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</si>
  <si>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</si>
  <si>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</si>
  <si>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</si>
  <si>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</si>
  <si>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</si>
  <si>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</si>
  <si>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</si>
  <si>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</si>
  <si>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</si>
  <si>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</si>
  <si>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</si>
  <si>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</si>
  <si>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</si>
  <si>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</si>
  <si>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</si>
  <si>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</si>
  <si>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</si>
  <si>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</si>
  <si>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</si>
  <si>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</si>
  <si>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</si>
  <si>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</si>
  <si>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</si>
  <si>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</si>
  <si>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</si>
  <si>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</si>
  <si>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</si>
  <si>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</si>
  <si>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</si>
  <si>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</si>
  <si>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</si>
  <si>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</si>
  <si>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</si>
  <si>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</si>
  <si>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</si>
  <si>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</si>
  <si>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</si>
  <si>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</si>
  <si>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</si>
  <si>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</si>
  <si>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</si>
  <si>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</si>
  <si>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</si>
  <si>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</si>
  <si>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</si>
  <si>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</si>
  <si>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</si>
  <si>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</si>
  <si>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</si>
  <si>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</si>
  <si>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</si>
  <si>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</si>
  <si>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</si>
  <si>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</si>
  <si>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</si>
  <si>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</si>
  <si>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</si>
  <si>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</si>
  <si>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</si>
  <si>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</si>
  <si>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</si>
  <si>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</si>
  <si>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</si>
  <si>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</si>
  <si>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</si>
  <si>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</si>
  <si>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</si>
  <si>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</si>
  <si>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</si>
  <si>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</si>
  <si>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</si>
  <si>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</si>
  <si>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</si>
  <si>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</si>
  <si>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</si>
  <si>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</si>
  <si>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</si>
  <si>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</si>
  <si>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</si>
  <si>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</si>
  <si>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</si>
  <si>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</si>
  <si>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</si>
  <si>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</si>
  <si>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</si>
  <si>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</si>
  <si>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</si>
  <si>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</si>
  <si>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</si>
  <si>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</si>
  <si>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</si>
  <si>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</si>
  <si>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</si>
  <si>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</si>
  <si>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</si>
  <si>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</si>
  <si>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</si>
  <si>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</si>
  <si>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</si>
  <si>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</si>
  <si>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</si>
  <si>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</si>
  <si>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</si>
  <si>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</si>
  <si>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</si>
  <si>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</si>
  <si>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</si>
  <si>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</si>
  <si>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</si>
  <si>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</si>
  <si>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</si>
  <si>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</si>
  <si>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</si>
  <si>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</si>
  <si>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</si>
  <si>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</si>
  <si>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</si>
  <si>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</si>
  <si>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</si>
  <si>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</si>
  <si>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</si>
  <si>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</si>
  <si>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</si>
  <si>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</si>
  <si>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</si>
  <si>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</si>
  <si>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</si>
  <si>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</si>
  <si>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</si>
  <si>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</si>
  <si>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</si>
  <si>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</si>
  <si>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</si>
  <si>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</si>
  <si>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</si>
  <si>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</si>
  <si>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</si>
  <si>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</si>
  <si>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</si>
  <si>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</si>
  <si>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</si>
  <si>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</si>
  <si>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</si>
  <si>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</si>
  <si>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</si>
  <si>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</si>
  <si>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</si>
  <si>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</si>
  <si>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</si>
  <si>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</si>
  <si>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</si>
  <si>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</si>
  <si>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</si>
  <si>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</si>
  <si>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</si>
  <si>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</si>
  <si>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</si>
  <si>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</si>
  <si>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</si>
  <si>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</si>
  <si>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</si>
  <si>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</si>
  <si>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</si>
  <si>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</si>
  <si>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</si>
  <si>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</si>
  <si>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</si>
  <si>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</si>
  <si>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</si>
  <si>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</si>
  <si>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</si>
  <si>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</si>
  <si>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</si>
  <si>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</si>
  <si>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</si>
  <si>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</si>
  <si>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</si>
  <si>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</si>
  <si>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</si>
  <si>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</si>
  <si>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</si>
  <si>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</si>
  <si>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</si>
  <si>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</si>
  <si>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</si>
  <si>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</si>
  <si>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</si>
  <si>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</si>
  <si>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</si>
  <si>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</si>
  <si>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</si>
  <si>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</si>
  <si>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</si>
  <si>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</si>
  <si>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</si>
  <si>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</si>
  <si>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</si>
  <si>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</si>
  <si>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</si>
  <si>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</si>
  <si>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</si>
  <si>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</si>
  <si>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</si>
  <si>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</si>
  <si>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</si>
  <si>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</si>
  <si>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</si>
  <si>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</si>
  <si>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</si>
  <si>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</si>
  <si>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</si>
  <si>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</si>
  <si>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</si>
  <si>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</si>
  <si>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</si>
  <si>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</si>
  <si>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</si>
  <si>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</si>
  <si>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</si>
  <si>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</si>
  <si>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</si>
  <si>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</si>
  <si>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</si>
  <si>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</si>
  <si>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</si>
  <si>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</si>
  <si>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</si>
  <si>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</si>
  <si>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</si>
  <si>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</si>
  <si>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</si>
  <si>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</si>
  <si>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</si>
  <si>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</si>
  <si>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</si>
  <si>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</si>
  <si>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</si>
  <si>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</si>
  <si>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</si>
  <si>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</si>
  <si>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</si>
  <si>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</si>
  <si>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</si>
  <si>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</si>
  <si>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</si>
  <si>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</si>
  <si>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</si>
  <si>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</si>
  <si>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</si>
  <si>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</si>
  <si>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</si>
  <si>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</si>
  <si>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</si>
  <si>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</si>
  <si>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</si>
  <si>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</si>
  <si>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</si>
  <si>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</si>
  <si>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</si>
  <si>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</si>
  <si>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</si>
  <si>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</si>
  <si>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</si>
  <si>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</si>
  <si>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</si>
  <si>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</si>
  <si>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</si>
  <si>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</si>
  <si>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</si>
  <si>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</si>
  <si>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</si>
  <si>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</si>
  <si>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</si>
  <si>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</si>
  <si>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</si>
  <si>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</si>
  <si>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</si>
  <si>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</si>
  <si>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</si>
  <si>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</si>
  <si>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</si>
  <si>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</si>
  <si>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</si>
  <si>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</si>
  <si>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</si>
  <si>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</si>
  <si>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</si>
  <si>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</si>
  <si>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</si>
  <si>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</si>
  <si>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</si>
  <si>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</si>
  <si>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</si>
  <si>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</si>
  <si>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</si>
  <si>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</si>
  <si>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</si>
  <si>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</si>
  <si>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</si>
  <si>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</si>
  <si>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</si>
  <si>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</si>
  <si>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</si>
  <si>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</si>
  <si>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</si>
  <si>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</si>
  <si>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</si>
  <si>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Sun, Ge &amp; Zhou, 2011</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</si>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</sst>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00000"/>
    <numFmt numFmtId="166" formatCode="0.0_ "/>
    <numFmt numFmtId="167" formatCode="0.00_ "/>
    <numFmt numFmtId="168" formatCode="0.000_ "/>
    <numFmt numFmtId="169" formatCode="0.0000"/>
  </numFmts>
  <fonts count="26">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2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cellStyleXfs>
  <cellXfs count="233">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0" fontId="0" fillId="3" borderId="4" xfId="0" applyFill="1" applyBorder="1" applyAlignment="1">
      <alignment horizontal="left" wrapText="1"/>
    </xf>
    <xf numFmtId="0" fontId="3" fillId="3" borderId="4" xfId="1" applyFill="1" applyBorder="1" applyAlignment="1">
      <alignment wrapText="1"/>
    </xf>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164" fontId="23" fillId="3" borderId="4" xfId="0" applyNumberFormat="1" applyFont="1" applyFill="1" applyBorder="1"/>
    <xf numFmtId="0" fontId="0" fillId="3" borderId="5" xfId="0" applyFont="1" applyFill="1" applyBorder="1" applyAlignment="1" applyProtection="1">
      <alignment wrapText="1"/>
    </xf>
  </cellXfs>
  <cellStyles count="5">
    <cellStyle name="Comma" xfId="2" builtinId="3"/>
    <cellStyle name="Hyperlink" xfId="1" builtinId="8"/>
    <cellStyle name="Hyperlink 2" xfId="4" xr:uid="{8FC78BA7-0666-4833-BF44-4905183F2A94}"/>
    <cellStyle name="Normal" xfId="0" builtinId="0"/>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books.google.co.uk/books?hl=en&amp;lr=&amp;id=y4EIyCJvWC4C&amp;oi=fnd&amp;pg=PR4&amp;ots=IcTNYTFUZn&amp;sig=NalGHA2GwWwqU5AnRD1E0-7XDuw&amp;redir_esc=y"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researchgate.net/publication/311487251"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16/j.landusepol.2017.06.018" TargetMode="External"/><Relationship Id="rId903" Type="http://schemas.openxmlformats.org/officeDocument/2006/relationships/hyperlink" Target="https://www.mdpi.com/1999-4907/7/10/237"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www.ecologyandsociety.org/vol22/iss3/art23/"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linkinghub.elsevier.com/retrieve/pii/S0048969717324695"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743016716301814?via%3Dihub" TargetMode="External"/><Relationship Id="rId925" Type="http://schemas.openxmlformats.org/officeDocument/2006/relationships/hyperlink" Target="https://pdfs.semanticscholar.org/d0eb/e9e2baa1c1b0a23a4e9d2c868c56bd39c8ce.pdf" TargetMode="External"/><Relationship Id="rId357" Type="http://schemas.openxmlformats.org/officeDocument/2006/relationships/hyperlink" Target="https://pubmed.ncbi.nlm.nih.gov/15748801/"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esajournals.onlinelibrary.wiley.com/doi/10.1890/1540-9295%282004%29002%5B0361%3ALIAPFF%5D2.0.CO%3B2"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www.pnas.org/content/105/39/14796"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digitalcommons.usu.edu/hwi/vol12/iss1/"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www.jstor.org/stable/pdf/27654196.pdf"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sciencedirect.com/science/article/pii/S0301479799903353"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doi.org/10.1016/j.landusepol.2015.05.004" TargetMode="External"/><Relationship Id="rId893" Type="http://schemas.openxmlformats.org/officeDocument/2006/relationships/hyperlink" Target="https://www.mdpi.com/1999-4907/7/10/237" TargetMode="External"/><Relationship Id="rId907" Type="http://schemas.openxmlformats.org/officeDocument/2006/relationships/hyperlink" Target="https://www.sciencedirect.com/science/article/abs/pii/S0378112799002832"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pnas.org/content/pnas/103/39/14637.full.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digitalcommons.usu.edu/hwi/vol12/iss1/"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doi.org/10.1016/j.foreco.2011.02.0"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252" Type="http://schemas.openxmlformats.org/officeDocument/2006/relationships/hyperlink" Target="https://link.springer.com/content/pdf/10.1007%2Fs10457-006-0003-9.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www.jstor.org/stable/pdf/27654196.pdf"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www.sciencedirect.com/science/article/pii/S0301479713005586?via%3Dihub"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33" Type="http://schemas.openxmlformats.org/officeDocument/2006/relationships/hyperlink" Target="https://www.sciencedirect.com/science/article/pii/S0301479799903353"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40" Type="http://schemas.openxmlformats.org/officeDocument/2006/relationships/hyperlink" Target="https://www.tandfonline.com/doi/abs/10.1080/01426397.2013.773299"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677" Type="http://schemas.openxmlformats.org/officeDocument/2006/relationships/hyperlink" Target="https://doi.org/10.1016/j.enpol.2019.110882" TargetMode="External"/><Relationship Id="rId800" Type="http://schemas.openxmlformats.org/officeDocument/2006/relationships/hyperlink" Target="https://www.researchgate.net/publication/256645443_Grazing_Systems_and_Biodiversity_in_Mediterranean_Areas_Spain_Italy_and_Greece" TargetMode="External"/><Relationship Id="rId842" Type="http://schemas.openxmlformats.org/officeDocument/2006/relationships/hyperlink" Target="https://www.mdpi.com/1999-4907/7/10/237" TargetMode="External"/><Relationship Id="rId232" Type="http://schemas.openxmlformats.org/officeDocument/2006/relationships/hyperlink" Target="https://link.springer.com/article/10.1007/s10745-012-9537-9"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37" Type="http://schemas.openxmlformats.org/officeDocument/2006/relationships/hyperlink" Target="https://doi.org/10.1007/s10745-019-0056-9" TargetMode="External"/><Relationship Id="rId579" Type="http://schemas.openxmlformats.org/officeDocument/2006/relationships/hyperlink" Target="http://dx.doi.org/10.1016/j.gloenvcha.2017.08.001" TargetMode="External"/><Relationship Id="rId744" Type="http://schemas.openxmlformats.org/officeDocument/2006/relationships/hyperlink" Target="https://www.witpress.com/elibrary/wit-transactions-on-ecology-and-the-environment/137/21150"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51" Type="http://schemas.openxmlformats.org/officeDocument/2006/relationships/hyperlink" Target="https://pdfs.semanticscholar.org/ad35/96c82623cf33cb44dda5d20f40837b915c92.pdf"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646" Type="http://schemas.openxmlformats.org/officeDocument/2006/relationships/hyperlink" Target="http://www2.fire.uni-freiburg.de/sevilla-2007/contributions/doc/cd/SESIONES_TEMATICAS/ST2/Velez_SPAIN_DGB_ExpeEnglish.pdf" TargetMode="External"/><Relationship Id="rId811" Type="http://schemas.openxmlformats.org/officeDocument/2006/relationships/hyperlink" Target="https://www.researchgate.net/publication/311487251" TargetMode="External"/><Relationship Id="rId201" Type="http://schemas.openxmlformats.org/officeDocument/2006/relationships/hyperlink" Target="http://lad.nafri.org.la/fulltext/231-0.pdf" TargetMode="External"/><Relationship Id="rId243" Type="http://schemas.openxmlformats.org/officeDocument/2006/relationships/hyperlink" Target="https://www.sciencedirect.com/science/article/pii/S025462991531053X"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506" Type="http://schemas.openxmlformats.org/officeDocument/2006/relationships/hyperlink" Target="https://www.sciencedirect.com/science/article/pii/S0301479711004701?via%3Dihub" TargetMode="External"/><Relationship Id="rId688" Type="http://schemas.openxmlformats.org/officeDocument/2006/relationships/hyperlink" Target="https://doi.org/10.1007/s11625-018-0592-z" TargetMode="External"/><Relationship Id="rId853" Type="http://schemas.openxmlformats.org/officeDocument/2006/relationships/hyperlink" Target="https://www.mdpi.com/1999-4907/7/10/237" TargetMode="External"/><Relationship Id="rId895" Type="http://schemas.openxmlformats.org/officeDocument/2006/relationships/hyperlink" Target="https://www.mdpi.com/1999-4907/7/10/237" TargetMode="External"/><Relationship Id="rId909" Type="http://schemas.openxmlformats.org/officeDocument/2006/relationships/hyperlink" Target="https://doi.org/10.1080/00040851.1995.12003091"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48" Type="http://schemas.openxmlformats.org/officeDocument/2006/relationships/hyperlink" Target="http://gfmc.online/wp-content/uploads/06-IFFN-34-Nepal-2-3.pdf" TargetMode="External"/><Relationship Id="rId713" Type="http://schemas.openxmlformats.org/officeDocument/2006/relationships/hyperlink" Target="https://doi.org/10.1007/s10342-019-01247-6" TargetMode="External"/><Relationship Id="rId755" Type="http://schemas.openxmlformats.org/officeDocument/2006/relationships/hyperlink" Target="http://dx.doi.org/10.1071/RJ12095" TargetMode="External"/><Relationship Id="rId797" Type="http://schemas.openxmlformats.org/officeDocument/2006/relationships/hyperlink" Target="https://www.researchgate.net/publication/256645443_Grazing_Systems_and_Biodiversity_in_Mediterranean_Areas_Spain_Italy_and_Greece" TargetMode="External"/><Relationship Id="rId920" Type="http://schemas.openxmlformats.org/officeDocument/2006/relationships/hyperlink" Target="https://www.jstor.org/stable/26396597" TargetMode="External"/><Relationship Id="rId962" Type="http://schemas.openxmlformats.org/officeDocument/2006/relationships/hyperlink" Target="https://link.springer.com/article/10.1007/s10745-010-9362-y"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87" Type="http://schemas.openxmlformats.org/officeDocument/2006/relationships/hyperlink" Target="https://www.jstor.org/stable/i25765194"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4" Type="http://schemas.openxmlformats.org/officeDocument/2006/relationships/hyperlink" Target="https://www.sciencedirect.com/science/article/pii/S0264837716300060?via%3Dihub" TargetMode="External"/><Relationship Id="rId657" Type="http://schemas.openxmlformats.org/officeDocument/2006/relationships/hyperlink" Target="https://core.ac.uk/reader/190976684" TargetMode="External"/><Relationship Id="rId699" Type="http://schemas.openxmlformats.org/officeDocument/2006/relationships/hyperlink" Target="http://fmc.online/wp-content/uploads/15-IFFN-36-Mongolia-1-1.pdf" TargetMode="External"/><Relationship Id="rId864" Type="http://schemas.openxmlformats.org/officeDocument/2006/relationships/hyperlink" Target="https://www.mdpi.com/1999-4907/7/10/237"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96"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517" Type="http://schemas.openxmlformats.org/officeDocument/2006/relationships/hyperlink" Target="https://www.sciencedirect.com/science/article/pii/S0301479711004701?via%3Dihub" TargetMode="External"/><Relationship Id="rId559" Type="http://schemas.openxmlformats.org/officeDocument/2006/relationships/hyperlink" Target="https://www.sciencedirect.com/science/article/pii/S0143622820300667" TargetMode="External"/><Relationship Id="rId724" Type="http://schemas.openxmlformats.org/officeDocument/2006/relationships/hyperlink" Target="https://www.sciencedirect.com/science/article/pii/S0301479799903353" TargetMode="External"/><Relationship Id="rId766" Type="http://schemas.openxmlformats.org/officeDocument/2006/relationships/hyperlink" Target="https://www.researchgate.net/publication/256645443_Grazing_Systems_and_Biodiversity_in_Mediterranean_Areas_Spain_Italy_and_Greece" TargetMode="External"/><Relationship Id="rId931" Type="http://schemas.openxmlformats.org/officeDocument/2006/relationships/hyperlink" Target="https://www.nature.com/articles/s41598-020-57564-z"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63" Type="http://schemas.openxmlformats.org/officeDocument/2006/relationships/hyperlink" Target="https://link.springer.com/article/10.1007/s10745-005-5155-0"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ww.researchgate.net/publication/248885612_Remote_sensing_of_fire_regimes_in_semi-arid_Nusa_Tenggara_Timur_eastern_Indonesia_Current_patterns_future_prospects"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33" Type="http://schemas.openxmlformats.org/officeDocument/2006/relationships/hyperlink" Target="https://www.researchgate.net/publication/311487251" TargetMode="External"/><Relationship Id="rId875" Type="http://schemas.openxmlformats.org/officeDocument/2006/relationships/hyperlink" Target="https://www.mdpi.com/1999-4907/7/10/237" TargetMode="External"/><Relationship Id="rId18"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00" Type="http://schemas.openxmlformats.org/officeDocument/2006/relationships/hyperlink" Target="https://www.mdpi.com/1999-4907/7/10/237" TargetMode="External"/><Relationship Id="rId942" Type="http://schemas.openxmlformats.org/officeDocument/2006/relationships/hyperlink" Target="https://link.springer.com/content/pdf/10.1007/s11258-008-9459-1.pdf" TargetMode="External"/><Relationship Id="rId125" Type="http://schemas.openxmlformats.org/officeDocument/2006/relationships/hyperlink" Target="http://oar.icrisat.org/6779/1/EPW_33_39_A163-A168_1998.pdf" TargetMode="External"/><Relationship Id="rId167" Type="http://schemas.openxmlformats.org/officeDocument/2006/relationships/hyperlink" Target="https://link.springer.com/article/10.1007/s10980-007-9123-5" TargetMode="External"/><Relationship Id="rId332" Type="http://schemas.openxmlformats.org/officeDocument/2006/relationships/hyperlink" Target="https://www.tandfonline.com/doi/full/10.1080/21513732.2016.1169559"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777" Type="http://schemas.openxmlformats.org/officeDocument/2006/relationships/hyperlink" Target="https://www.researchgate.net/publication/256645443_Grazing_Systems_and_Biodiversity_in_Mediterranean_Areas_Spain_Italy_and_Greece"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37" Type="http://schemas.openxmlformats.org/officeDocument/2006/relationships/hyperlink" Target="https://www.sciencedirect.com/science/article/pii/S0378112710006924" TargetMode="External"/><Relationship Id="rId679" Type="http://schemas.openxmlformats.org/officeDocument/2006/relationships/hyperlink" Target="https://doi.org/10.1016/j.fcr.2015.10.007" TargetMode="External"/><Relationship Id="rId802" Type="http://schemas.openxmlformats.org/officeDocument/2006/relationships/hyperlink" Target="https://www.researchgate.net/publication/311487251" TargetMode="External"/><Relationship Id="rId844" Type="http://schemas.openxmlformats.org/officeDocument/2006/relationships/hyperlink" Target="https://www.mdpi.com/1999-4907/7/10/237"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76" Type="http://schemas.openxmlformats.org/officeDocument/2006/relationships/hyperlink" Target="https://www.mdpi.com/2073-445X/9/1/23" TargetMode="External"/><Relationship Id="rId441" Type="http://schemas.openxmlformats.org/officeDocument/2006/relationships/hyperlink" Target="https://www.sciencedirect.com/science/article/pii/S0167880911000405" TargetMode="External"/><Relationship Id="rId483" Type="http://schemas.openxmlformats.org/officeDocument/2006/relationships/hyperlink" Target="http://dx.doi.org/10.1080/1747423X.2011.565372" TargetMode="External"/><Relationship Id="rId539" Type="http://schemas.openxmlformats.org/officeDocument/2006/relationships/hyperlink" Target="https://www.researchgate.net/publication/325554028" TargetMode="External"/><Relationship Id="rId690" Type="http://schemas.openxmlformats.org/officeDocument/2006/relationships/hyperlink" Target="https://www.mdpi.com/1999-4907/8/11/422" TargetMode="External"/><Relationship Id="rId704" Type="http://schemas.openxmlformats.org/officeDocument/2006/relationships/hyperlink" Target="https://www.ecologyandsociety.org/vol22/iss3/art23/" TargetMode="External"/><Relationship Id="rId746" Type="http://schemas.openxmlformats.org/officeDocument/2006/relationships/hyperlink" Target="https://www.witpress.com/elibrary/wit-transactions-on-ecology-and-the-environment/137/21150" TargetMode="External"/><Relationship Id="rId911" Type="http://schemas.openxmlformats.org/officeDocument/2006/relationships/hyperlink" Target="https://www.tandfonline.com/doi/abs/10.2989/10220110509485865"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53" Type="http://schemas.openxmlformats.org/officeDocument/2006/relationships/hyperlink" Target="https://pdfs.semanticscholar.org/ad35/96c82623cf33cb44dda5d20f40837b915c92.pdf" TargetMode="External"/><Relationship Id="rId82" Type="http://schemas.openxmlformats.org/officeDocument/2006/relationships/hyperlink" Target="https://www.tandfonline.com/doi/full/10.1080/08941920.2013.820813"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648" Type="http://schemas.openxmlformats.org/officeDocument/2006/relationships/hyperlink" Target="http://www2.fire.uni-freiburg.de/sevilla-2007/contributions/doc/cd/SESIONES_TEMATICAS/ST2/Velez_SPAIN_DGB_ExpeEnglish.pdf" TargetMode="External"/><Relationship Id="rId813" Type="http://schemas.openxmlformats.org/officeDocument/2006/relationships/hyperlink" Target="https://www.researchgate.net/publication/311487251" TargetMode="External"/><Relationship Id="rId855" Type="http://schemas.openxmlformats.org/officeDocument/2006/relationships/hyperlink" Target="https://www.mdpi.com/1999-4907/7/10/237" TargetMode="External"/><Relationship Id="rId245" Type="http://schemas.openxmlformats.org/officeDocument/2006/relationships/hyperlink" Target="https://www.sciencedirect.com/science/article/pii/S0143622817307403"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52" Type="http://schemas.openxmlformats.org/officeDocument/2006/relationships/hyperlink" Target="https://journals.uair.arizona.edu/index.php/rangelands/article/download/15883/15858"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link.springer.com/article/10.1186/s42408-019-0041-0" TargetMode="External"/><Relationship Id="rId897" Type="http://schemas.openxmlformats.org/officeDocument/2006/relationships/hyperlink" Target="https://www.mdpi.com/1999-4907/7/10/237" TargetMode="External"/><Relationship Id="rId922" Type="http://schemas.openxmlformats.org/officeDocument/2006/relationships/hyperlink" Target="https://link.springer.com/article/10.1134/S1875372818030046" TargetMode="External"/><Relationship Id="rId105" Type="http://schemas.openxmlformats.org/officeDocument/2006/relationships/hyperlink" Target="https://www.tandfonline.com/doi/full/10.1080/08941920.2013.820813" TargetMode="External"/><Relationship Id="rId147" Type="http://schemas.openxmlformats.org/officeDocument/2006/relationships/hyperlink" Target="https://link.springer.com/article/10.1007/s11027-006-9038-5"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54" Type="http://schemas.openxmlformats.org/officeDocument/2006/relationships/hyperlink" Target="http://monitoringmatters.org/articles/full13.pdf" TargetMode="External"/><Relationship Id="rId757" Type="http://schemas.openxmlformats.org/officeDocument/2006/relationships/hyperlink" Target="http://www.tropicalgrasslands.info/public/journals/4/Historic/Tropical%20Grasslands%20Journal%20archive/PDFs/Vol_31_1997/Vol_31_03_97_pp161_187.pdf" TargetMode="External"/><Relationship Id="rId799"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tandfonline.com/doi/abs/10.1080/08941920.2014.918226" TargetMode="External"/><Relationship Id="rId51" Type="http://schemas.openxmlformats.org/officeDocument/2006/relationships/hyperlink" Target="https://doi.org/10.14989/68482"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617" Type="http://schemas.openxmlformats.org/officeDocument/2006/relationships/hyperlink" Target="https://link.springer.com/article/10.1007/s10745-016-9851-8" TargetMode="External"/><Relationship Id="rId659" Type="http://schemas.openxmlformats.org/officeDocument/2006/relationships/hyperlink" Target="http://www.sandeeonline.org/uploads/documents/publication/962_PUB_Working_Paper_66_Ridhima_Gupta.pdf" TargetMode="External"/><Relationship Id="rId824" Type="http://schemas.openxmlformats.org/officeDocument/2006/relationships/hyperlink" Target="https://www.researchgate.net/publication/311487251" TargetMode="External"/><Relationship Id="rId866" Type="http://schemas.openxmlformats.org/officeDocument/2006/relationships/hyperlink" Target="https://www.mdpi.com/1999-4907/7/10/237"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6" Type="http://schemas.openxmlformats.org/officeDocument/2006/relationships/hyperlink" Target="https://www.sciencedirect.com/science/article/pii/S0006320712004466"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463" Type="http://schemas.openxmlformats.org/officeDocument/2006/relationships/hyperlink" Target="https://besjournals.onlinelibrary.wiley.com/doi/pdf/10.1046/j.1365-2664.2001.00567.x" TargetMode="External"/><Relationship Id="rId519" Type="http://schemas.openxmlformats.org/officeDocument/2006/relationships/hyperlink" Target="https://www.sciencedirect.com/science/article/pii/S0301479711004701?via%3Dihub"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16" Type="http://schemas.openxmlformats.org/officeDocument/2006/relationships/hyperlink" Target="https://www.sciencedirect.com/science/article/pii/S0921800919305191"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26" Type="http://schemas.openxmlformats.org/officeDocument/2006/relationships/hyperlink" Target="https://www.sciencedirect.com/science/article/pii/S0301479799903353"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33" Type="http://schemas.openxmlformats.org/officeDocument/2006/relationships/hyperlink" Target="https://esajournals.onlinelibrary.wiley.com/doi/full/10.1890/130015" TargetMode="External"/><Relationship Id="rId975" Type="http://schemas.openxmlformats.org/officeDocument/2006/relationships/hyperlink" Target="https://books.google.co.uk/books?hl=en&amp;lr=&amp;id=y4EIyCJvWC4C&amp;oi=fnd&amp;pg=PR4&amp;ots=IcTNYTFUZn&amp;sig=NalGHA2GwWwqU5AnRD1E0-7XDuw&amp;redir_esc=y" TargetMode="External"/><Relationship Id="rId20"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researchgate.net/publication/311487251" TargetMode="External"/><Relationship Id="rId225" Type="http://schemas.openxmlformats.org/officeDocument/2006/relationships/hyperlink" Target="http://www.bio-nica.info/Biblioteca/Vosti2002Deforestation.pdf"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32" Type="http://schemas.openxmlformats.org/officeDocument/2006/relationships/hyperlink" Target="https://www.scirp.org/journal/paperinformation.aspx?paperid=27362" TargetMode="External"/><Relationship Id="rId474" Type="http://schemas.openxmlformats.org/officeDocument/2006/relationships/hyperlink" Target="https://onlinelibrary.wiley.com/doi/abs/10.1002/ldr.777" TargetMode="External"/><Relationship Id="rId877" Type="http://schemas.openxmlformats.org/officeDocument/2006/relationships/hyperlink" Target="https://www.mdpi.com/1999-4907/7/10/237"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29332/ijls.v2n3.234" TargetMode="External"/><Relationship Id="rId737" Type="http://schemas.openxmlformats.org/officeDocument/2006/relationships/hyperlink" Target="https://www.sciencedirect.com/science/article/pii/S0301479799903353"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mdpi.com/1999-4907/7/10/237" TargetMode="External"/><Relationship Id="rId944" Type="http://schemas.openxmlformats.org/officeDocument/2006/relationships/hyperlink" Target="https://iforest.sisef.org/pdf/?id=ifor0521-003" TargetMode="External"/><Relationship Id="rId31" Type="http://schemas.openxmlformats.org/officeDocument/2006/relationships/hyperlink" Target="https://doi.org/10.14989/68482"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6" Type="http://schemas.openxmlformats.org/officeDocument/2006/relationships/hyperlink" Target="https://www.mdpi.com/2076-3298/2/1/1" TargetMode="External"/><Relationship Id="rId541" Type="http://schemas.openxmlformats.org/officeDocument/2006/relationships/hyperlink" Target="http://managementjournal.usamv.ro/pdf/vol.17_1/Art68.pdf" TargetMode="External"/><Relationship Id="rId583" Type="http://schemas.openxmlformats.org/officeDocument/2006/relationships/hyperlink" Target="https://rgs-ibg.onlinelibrary.wiley.com/doi/abs/10.1111/geoj.12261" TargetMode="External"/><Relationship Id="rId639" Type="http://schemas.openxmlformats.org/officeDocument/2006/relationships/hyperlink" Target="https://www.sciencedirect.com/science/article/pii/S0048969713014046"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46" Type="http://schemas.openxmlformats.org/officeDocument/2006/relationships/hyperlink" Target="https://www.mdpi.com/1999-4907/7/10/237" TargetMode="External"/><Relationship Id="rId888" Type="http://schemas.openxmlformats.org/officeDocument/2006/relationships/hyperlink" Target="https://www.mdpi.com/1999-4907/7/10/237"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890/120356" TargetMode="External"/><Relationship Id="rId706" Type="http://schemas.openxmlformats.org/officeDocument/2006/relationships/hyperlink" Target="https://www.ecologyandsociety.org/vol22/iss3/art23/" TargetMode="External"/><Relationship Id="rId748" Type="http://schemas.openxmlformats.org/officeDocument/2006/relationships/hyperlink" Target="https://www.witpress.com/elibrary/wit-transactions-on-ecology-and-the-environment/137/21150"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5" Type="http://schemas.openxmlformats.org/officeDocument/2006/relationships/hyperlink" Target="https://pdfs.semanticscholar.org/ad35/96c82623cf33cb44dda5d20f40837b915c92.pdf"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899" Type="http://schemas.openxmlformats.org/officeDocument/2006/relationships/hyperlink" Target="https://www.mdpi.com/1999-4907/7/10/237"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sandeeonline.org/uploads/documents/publication/962_PUB_Working_Paper_66_Ridhima_Gupta.pdf" TargetMode="External"/><Relationship Id="rId717" Type="http://schemas.openxmlformats.org/officeDocument/2006/relationships/hyperlink" Target="https://link.springer.com/article/10.1023/A:1013130528470" TargetMode="External"/><Relationship Id="rId759" Type="http://schemas.openxmlformats.org/officeDocument/2006/relationships/hyperlink" Target="https://www.tandfonline.com/doi/full/10.1080/03066150.2015.1013099" TargetMode="External"/><Relationship Id="rId924" Type="http://schemas.openxmlformats.org/officeDocument/2006/relationships/hyperlink" Target="https://link.springer.com/article/10.1007%2Fs10021-019-00447-w" TargetMode="External"/><Relationship Id="rId966" Type="http://schemas.openxmlformats.org/officeDocument/2006/relationships/hyperlink" Target="https://www.tandfonline.com/doi/abs/10.1080/08941920.2014.918226"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770" Type="http://schemas.openxmlformats.org/officeDocument/2006/relationships/hyperlink" Target="https://www.researchgate.net/publication/256645443_Grazing_Systems_and_Biodiversity_in_Mediterranean_Areas_Spain_Italy_and_Greece"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26" Type="http://schemas.openxmlformats.org/officeDocument/2006/relationships/hyperlink" Target="https://www.researchgate.net/publication/311487251" TargetMode="External"/><Relationship Id="rId868" Type="http://schemas.openxmlformats.org/officeDocument/2006/relationships/hyperlink" Target="https://www.mdpi.com/1999-4907/7/10/237"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doi.org/10.1080/19460171.2020.1724168"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jstor.org/stable/2388588"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977"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37" Type="http://schemas.openxmlformats.org/officeDocument/2006/relationships/hyperlink" Target="https://www.mdpi.com/1999-4907/7/10/237" TargetMode="External"/><Relationship Id="rId879" Type="http://schemas.openxmlformats.org/officeDocument/2006/relationships/hyperlink" Target="https://www.mdpi.com/1999-4907/7/10/237"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ncbi.nlm.nih.gov/pmc/articles/PMC6163030/" TargetMode="External"/><Relationship Id="rId683" Type="http://schemas.openxmlformats.org/officeDocument/2006/relationships/hyperlink" Target="https://doi.org/10.1016/j.enpol.2019.110882" TargetMode="External"/><Relationship Id="rId739" Type="http://schemas.openxmlformats.org/officeDocument/2006/relationships/hyperlink" Target="https://www.sciencedirect.com/science/article/pii/S0301479799903353" TargetMode="External"/><Relationship Id="rId890" Type="http://schemas.openxmlformats.org/officeDocument/2006/relationships/hyperlink" Target="https://www.mdpi.com/1999-4907/7/10/237" TargetMode="External"/><Relationship Id="rId904" Type="http://schemas.openxmlformats.org/officeDocument/2006/relationships/hyperlink" Target="https://www.mdpi.com/1999-4907/7/10/237"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946" Type="http://schemas.openxmlformats.org/officeDocument/2006/relationships/hyperlink" Target="https://iforest.sisef.org/pdf/?id=ifor0521-003"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750"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848" Type="http://schemas.openxmlformats.org/officeDocument/2006/relationships/hyperlink" Target="https://www.mdpi.com/1999-4907/7/10/237"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www2.fire.uni-freiburg.de/sevilla-2007/contributions/doc/cd/SESIONES_TEMATICAS/ST2/Velez_SPAIN_DGB_ExpeEnglish.pdf" TargetMode="External"/><Relationship Id="rId694" Type="http://schemas.openxmlformats.org/officeDocument/2006/relationships/hyperlink" Target="http://doi.org/10.1016/j.foreco.2011.02.0" TargetMode="External"/><Relationship Id="rId708" Type="http://schemas.openxmlformats.org/officeDocument/2006/relationships/hyperlink" Target="https://www.ecologyandsociety.org/vol22/iss3/art23/" TargetMode="External"/><Relationship Id="rId915"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pdfs.semanticscholar.org/ad35/96c82623cf33cb44dda5d20f40837b915c92.pdf"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17" Type="http://schemas.openxmlformats.org/officeDocument/2006/relationships/hyperlink" Target="https://www.researchgate.net/publication/311487251"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8" Type="http://schemas.openxmlformats.org/officeDocument/2006/relationships/hyperlink" Target="https://www.jstor.org/stable/pdf/27654196.pdf"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www.sciencedirect.com/science/article/pii/S0301479799903353" TargetMode="External"/><Relationship Id="rId772" Type="http://schemas.openxmlformats.org/officeDocument/2006/relationships/hyperlink" Target="https://www.researchgate.net/publication/256645443_Grazing_Systems_and_Biodiversity_in_Mediterranean_Areas_Spain_Italy_and_Greece" TargetMode="External"/><Relationship Id="rId828" Type="http://schemas.openxmlformats.org/officeDocument/2006/relationships/hyperlink" Target="https://www.researchgate.net/publication/311487251"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www.sciencedirect.com/science/article/pii/S0378112712006561"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37" Type="http://schemas.openxmlformats.org/officeDocument/2006/relationships/hyperlink" Target="https://www.sciencedirect.com/science/article/abs/pii/S2212041614000278?via%3Dihub" TargetMode="External"/><Relationship Id="rId979"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741" Type="http://schemas.openxmlformats.org/officeDocument/2006/relationships/hyperlink" Target="https://www.sciencedirect.com/science/article/pii/S0301479799903353" TargetMode="External"/><Relationship Id="rId783" Type="http://schemas.openxmlformats.org/officeDocument/2006/relationships/hyperlink" Target="https://www.researchgate.net/publication/256645443_Grazing_Systems_and_Biodiversity_in_Mediterranean_Areas_Spain_Italy_and_Greece" TargetMode="External"/><Relationship Id="rId839" Type="http://schemas.openxmlformats.org/officeDocument/2006/relationships/hyperlink" Target="https://www.mdpi.com/1999-4907/7/10/237"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link.springer.com/article/10.1007/s10342-019-01179-1"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doi.org/10.1016/j.enpol.2019.110882" TargetMode="External"/><Relationship Id="rId850" Type="http://schemas.openxmlformats.org/officeDocument/2006/relationships/hyperlink" Target="https://www.mdpi.com/1999-4907/7/10/237" TargetMode="External"/><Relationship Id="rId892" Type="http://schemas.openxmlformats.org/officeDocument/2006/relationships/hyperlink" Target="https://www.mdpi.com/1999-4907/7/10/237" TargetMode="External"/><Relationship Id="rId906" Type="http://schemas.openxmlformats.org/officeDocument/2006/relationships/hyperlink" Target="https://www.researchgate.net/publication/263580675" TargetMode="External"/><Relationship Id="rId948" Type="http://schemas.openxmlformats.org/officeDocument/2006/relationships/hyperlink" Target="https://bioone.org/journals/Journal-of-Ethnobiology/volume-35/issue-1/0278-0771-35.1.111/The-Human-Ecology-and-Geography-of-Burning-in-an-Unstable/10.2993/0278-0771-35.1.111.short"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www.ecologyandsociety.org/vol22/iss3/art23/" TargetMode="External"/><Relationship Id="rId752" Type="http://schemas.openxmlformats.org/officeDocument/2006/relationships/hyperlink" Target="https://www.sciencedirect.com/science/article/pii/S0143622811001901?via%3Dihub"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794" Type="http://schemas.openxmlformats.org/officeDocument/2006/relationships/hyperlink" Target="https://www.researchgate.net/publication/256645443_Grazing_Systems_and_Biodiversity_in_Mediterranean_Areas_Spain_Italy_and_Greece"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www2.fire.uni-freiburg.de/sevilla-2007/contributions/doc/cd/SESIONES_TEMATICAS/ST2/Velez_SPAIN_DGB_ExpeEnglish.pdf" TargetMode="External"/><Relationship Id="rId696" Type="http://schemas.openxmlformats.org/officeDocument/2006/relationships/hyperlink" Target="http://doi.org/10.1016/j.foreco.2011.02.0" TargetMode="External"/><Relationship Id="rId861" Type="http://schemas.openxmlformats.org/officeDocument/2006/relationships/hyperlink" Target="https://www.mdpi.com/1999-4907/7/10/237" TargetMode="External"/><Relationship Id="rId91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9" Type="http://schemas.openxmlformats.org/officeDocument/2006/relationships/hyperlink" Target="https://digitalcommons.usu.edu/hwi/vol12/iss1/"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sciencedirect.com/science/article/pii/S0301479799903353" TargetMode="External"/><Relationship Id="rId763" Type="http://schemas.openxmlformats.org/officeDocument/2006/relationships/hyperlink" Target="https://www.researchgate.net/publication/256645443_Grazing_Systems_and_Biodiversity_in_Mediterranean_Areas_Spain_Italy_and_Greece"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970" Type="http://schemas.openxmlformats.org/officeDocument/2006/relationships/hyperlink" Target="https://www.jstor.org/stable/pdf/27654196.pdf"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30" Type="http://schemas.openxmlformats.org/officeDocument/2006/relationships/hyperlink" Target="https://www.researchgate.net/publication/311487251" TargetMode="External"/><Relationship Id="rId872" Type="http://schemas.openxmlformats.org/officeDocument/2006/relationships/hyperlink" Target="https://www.mdpi.com/1999-4907/7/10/237" TargetMode="External"/><Relationship Id="rId928"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printerSettings" Target="../printerSettings/printerSettings1.bin"/><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enpol.2019.110882" TargetMode="External"/><Relationship Id="rId841" Type="http://schemas.openxmlformats.org/officeDocument/2006/relationships/hyperlink" Target="https://www.mdpi.com/1999-4907/7/10/237" TargetMode="External"/><Relationship Id="rId883" Type="http://schemas.openxmlformats.org/officeDocument/2006/relationships/hyperlink" Target="https://www.mdpi.com/1999-4907/7/10/237"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www.tandfonline.com/doi/abs/10.1080/01426397.2013.773299"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espace.library.uq.edu.au/view/UQ:681669"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s://doi.org/10.1007/s11625-018-0592-z"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www.mdpi.com/1999-4907/7/10/237" TargetMode="External"/><Relationship Id="rId908" Type="http://schemas.openxmlformats.org/officeDocument/2006/relationships/hyperlink" Target="https://www.academia.edu/5377988/The_effects_of_grazing_and_burning_on_soil_and_plant_nutrient_concentrations_in_Colombian_paramo_grasslands"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doi.org/10.3390/f9040159" TargetMode="External"/><Relationship Id="rId894" Type="http://schemas.openxmlformats.org/officeDocument/2006/relationships/hyperlink" Target="https://www.mdpi.com/1999-4907/7/10/237"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ildlife.onlinelibrary.wiley.com/doi/abs/10.1002/jwmg.334" TargetMode="External"/><Relationship Id="rId796" Type="http://schemas.openxmlformats.org/officeDocument/2006/relationships/hyperlink" Target="https://www.researchgate.net/publication/256645443_Grazing_Systems_and_Biodiversity_in_Mediterranean_Areas_Spain_Italy_and_Greece" TargetMode="External"/><Relationship Id="rId961" Type="http://schemas.openxmlformats.org/officeDocument/2006/relationships/hyperlink" Target="https://digitalcommons.usu.edu/hwi/vol12/iss1/"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fmc.online/wp-content/uploads/15-IFFN-36-Mongolia-1-1.pdf" TargetMode="External"/><Relationship Id="rId91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nature.com/articles/s41598-020-57564-z" TargetMode="External"/><Relationship Id="rId972" Type="http://schemas.openxmlformats.org/officeDocument/2006/relationships/hyperlink" Target="https://www.researchgate.net/publication/248885612_Remote_sensing_of_fire_regimes_in_semi-arid_Nusa_Tenggara_Timur_eastern_Indonesia_Current_patterns_future_prospects"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311487251"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linkinghub.elsevier.com/retrieve/pii/S0167880913002788"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esajournals.onlinelibrary.wiley.com/doi/full/10.1890/120298"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07/s11625-018-0592-z"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www.witpress.com/elibrary/wit-transactions-on-ecology-and-the-environment/137/21150" TargetMode="External"/><Relationship Id="rId910" Type="http://schemas.openxmlformats.org/officeDocument/2006/relationships/hyperlink" Target="https://www.tandfonline.com/doi/abs/10.2989/10220110509485865" TargetMode="External"/><Relationship Id="rId952" Type="http://schemas.openxmlformats.org/officeDocument/2006/relationships/hyperlink" Target="https://pdfs.semanticscholar.org/ad35/96c82623cf33cb44dda5d20f40837b915c92.pdf"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890/120356"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doi.org/10.1007/s13280-017-0987-6" TargetMode="External"/><Relationship Id="rId756" Type="http://schemas.openxmlformats.org/officeDocument/2006/relationships/hyperlink" Target="https://www.sciencedirect.com/science/article/pii/S0140196313001821?via%3Dihub" TargetMode="External"/><Relationship Id="rId921" Type="http://schemas.openxmlformats.org/officeDocument/2006/relationships/hyperlink" Target="https://link.springer.com/article/10.1134/S187537281803004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256645443_Grazing_Systems_and_Biodiversity_in_Mediterranean_Areas_Spain_Italy_and_Greece" TargetMode="External"/><Relationship Id="rId963" Type="http://schemas.openxmlformats.org/officeDocument/2006/relationships/hyperlink" Target="https://link.springer.com/article/10.1007/s10745-010-9325-3"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link.springer.com/article/10.1007/s10745-013-9637-1"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books.google.co.uk/books?hl=en&amp;lr=&amp;id=y4EIyCJvWC4C&amp;oi=fnd&amp;pg=PR4&amp;ots=IcTNYTFUZn&amp;sig=NalGHA2GwWwqU5AnRD1E0-7XDuw&amp;redir_esc=y"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researchgate.net/publication/311487251" TargetMode="External"/><Relationship Id="rId876" Type="http://schemas.openxmlformats.org/officeDocument/2006/relationships/hyperlink" Target="https://www.mdpi.com/1999-4907/7/10/237"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fcr.2015.10.007"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mdpi.com/1999-4907/7/10/23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iforest.sisef.org/pdf/?id=ifor0521-003"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s://www.mdpi.com/1999-4907/8/11/422" TargetMode="External"/><Relationship Id="rId747" Type="http://schemas.openxmlformats.org/officeDocument/2006/relationships/hyperlink" Target="https://www.witpress.com/elibrary/wit-transactions-on-ecology-and-the-environment/137/21150"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pdfs.semanticscholar.org/ad35/96c82623cf33cb44dda5d20f40837b915c92.pdf"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link.springer.com/article/10.1023/A:1013130528470" TargetMode="External"/><Relationship Id="rId758" Type="http://schemas.openxmlformats.org/officeDocument/2006/relationships/hyperlink" Target="https://www.tandfonline.com/doi/full/10.1080/03066150.2015.1013099" TargetMode="External"/><Relationship Id="rId923" Type="http://schemas.openxmlformats.org/officeDocument/2006/relationships/hyperlink" Target="https://link.springer.com/article/10.1007%2Fs10021-019-00447-w" TargetMode="External"/><Relationship Id="rId965" Type="http://schemas.openxmlformats.org/officeDocument/2006/relationships/hyperlink" Target="https://www.tandfonline.com/doi/abs/10.1080/08941920.2014.918226"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esajournals.onlinelibrary.wiley.com/doi/full/10.1890/130015"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sciencedirect.com/science/article/pii/S0301479799903353" TargetMode="External"/><Relationship Id="rId945" Type="http://schemas.openxmlformats.org/officeDocument/2006/relationships/hyperlink" Target="https://iforest.sisef.org/pdf/?id=ifor0521-00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ww.witpress.com/elibrary/wit-transactions-on-ecology-and-the-environment/137/21150"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pdfs.semanticscholar.org/ad35/96c82623cf33cb44dda5d20f40837b915c92.pdf"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academic.oup.com/jof/article/108/2/71/4599394"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740" Type="http://schemas.openxmlformats.org/officeDocument/2006/relationships/hyperlink" Target="https://www.sciencedirect.com/science/article/pii/S0301479799903353" TargetMode="External"/><Relationship Id="rId838" Type="http://schemas.openxmlformats.org/officeDocument/2006/relationships/hyperlink" Target="https://www.mdpi.com/1999-4907/7/10/237"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s://doi.org/10.1016/j.enpol.2019.110882"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researchgate.net/publication/263580675"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linkinghub.elsevier.com/retrieve/pii/S0034425717304728" TargetMode="External"/><Relationship Id="rId849" Type="http://schemas.openxmlformats.org/officeDocument/2006/relationships/hyperlink" Target="https://www.mdpi.com/1999-4907/7/10/237"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lpfw.org/wp-content/uploads/2018/01/2011_Syphard-Keeley-and-Brennan_Role-of-Fule-Breaks.pdf" TargetMode="External"/><Relationship Id="rId709" Type="http://schemas.openxmlformats.org/officeDocument/2006/relationships/hyperlink" Target="https://www.ecologyandsociety.org/vol22/iss3/art23/" TargetMode="External"/><Relationship Id="rId916"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bioone.org/journals/Rangeland-Ecology-and-Management/volume-64/issue-4/REM-D-10-00012.1/Public-Perceptions-of-Sagebrush-Ecosystem-Management-in-the-Great-Basin/10.2111/REM-D-10-00012.1.short"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840" Type="http://schemas.openxmlformats.org/officeDocument/2006/relationships/hyperlink" Target="https://www.mdpi.com/1999-4907/7/10/237" TargetMode="External"/><Relationship Id="rId938" Type="http://schemas.openxmlformats.org/officeDocument/2006/relationships/hyperlink" Target="https://www.sciencedirect.com/science/article/abs/pii/S0378112713006889?via%3Dihub"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doi.org/10.3390/f9040159" TargetMode="External"/><Relationship Id="rId949" Type="http://schemas.openxmlformats.org/officeDocument/2006/relationships/hyperlink" Target="https://bioone.org/journals/Journal-of-Ethnobiology/volume-35/issue-1/0278-0771-35.1.111/The-Human-Ecology-and-Geography-of-Burning-in-an-Unstable/10.2993/0278-0771-35.1.111.short"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300"/>
  <sheetViews>
    <sheetView zoomScale="55" zoomScaleNormal="55" workbookViewId="0">
      <pane ySplit="1" topLeftCell="A1281" activePane="bottomLeft" state="frozen"/>
      <selection activeCell="I1" sqref="I1"/>
      <selection pane="bottomLeft" activeCell="B1306" sqref="B1306"/>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31" customHeight="1">
      <c r="A105" s="31">
        <v>12</v>
      </c>
      <c r="B105" s="40" t="s">
        <v>164</v>
      </c>
      <c r="C105" s="3" t="s">
        <v>163</v>
      </c>
      <c r="D105" s="31" t="s">
        <v>2398</v>
      </c>
      <c r="E105" s="29" t="s">
        <v>2406</v>
      </c>
      <c r="F105" s="29" t="s">
        <v>2276</v>
      </c>
      <c r="G105" s="29" t="s">
        <v>166</v>
      </c>
      <c r="H105" s="28" t="s">
        <v>121</v>
      </c>
      <c r="I105" s="21" t="s">
        <v>2</v>
      </c>
      <c r="J105" s="21" t="s">
        <v>2</v>
      </c>
      <c r="K105" s="21">
        <v>1200000</v>
      </c>
      <c r="L105" s="3">
        <v>2002</v>
      </c>
      <c r="M105" s="3">
        <v>2012</v>
      </c>
      <c r="N105" s="3" t="s">
        <v>2276</v>
      </c>
      <c r="O105" s="3" t="s">
        <v>149</v>
      </c>
      <c r="P105" s="5" t="s">
        <v>5187</v>
      </c>
      <c r="Q105" s="3"/>
    </row>
    <row r="106" spans="1:2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0"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6975</v>
      </c>
      <c r="G925" s="3" t="s">
        <v>6977</v>
      </c>
      <c r="H925" s="3" t="s">
        <v>6086</v>
      </c>
      <c r="I925" s="21">
        <v>9.1499997999999998</v>
      </c>
      <c r="J925" s="21">
        <v>-6.483333</v>
      </c>
      <c r="K925" s="21" t="s">
        <v>2276</v>
      </c>
      <c r="L925" s="3">
        <v>1985</v>
      </c>
      <c r="M925" s="3">
        <v>1995</v>
      </c>
      <c r="N925" s="3">
        <v>16</v>
      </c>
      <c r="O925" s="26" t="s">
        <v>67</v>
      </c>
      <c r="P925" s="204" t="s">
        <v>5187</v>
      </c>
      <c r="Q925" s="3" t="s">
        <v>6979</v>
      </c>
    </row>
    <row r="926" spans="1:17" ht="43.5" customHeight="1">
      <c r="A926" s="106">
        <v>257</v>
      </c>
      <c r="B926" s="40" t="s">
        <v>6085</v>
      </c>
      <c r="C926" s="26" t="s">
        <v>6084</v>
      </c>
      <c r="D926" s="11" t="s">
        <v>2398</v>
      </c>
      <c r="E926" s="204" t="s">
        <v>2422</v>
      </c>
      <c r="F926" s="3" t="s">
        <v>6976</v>
      </c>
      <c r="G926" s="3" t="s">
        <v>6978</v>
      </c>
      <c r="H926" s="3" t="s">
        <v>6086</v>
      </c>
      <c r="I926" s="21">
        <v>9.3744738000000005</v>
      </c>
      <c r="J926" s="21">
        <v>-5.6494460000000002</v>
      </c>
      <c r="K926" s="21" t="s">
        <v>2276</v>
      </c>
      <c r="L926" s="204">
        <v>1985</v>
      </c>
      <c r="M926" s="3">
        <v>1995</v>
      </c>
      <c r="N926" s="3">
        <v>73</v>
      </c>
      <c r="O926" s="26" t="s">
        <v>67</v>
      </c>
      <c r="P926" s="204" t="s">
        <v>5187</v>
      </c>
      <c r="Q926" s="204" t="s">
        <v>6979</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3" customFormat="1" ht="45.5" customHeight="1">
      <c r="A929" s="193">
        <v>258</v>
      </c>
      <c r="B929" s="41" t="s">
        <v>6106</v>
      </c>
      <c r="C929" s="4" t="s">
        <v>6640</v>
      </c>
      <c r="D929" s="4" t="s">
        <v>2398</v>
      </c>
      <c r="E929" s="11" t="s">
        <v>4847</v>
      </c>
      <c r="F929" s="4" t="s">
        <v>6643</v>
      </c>
      <c r="G929" s="4" t="s">
        <v>4132</v>
      </c>
      <c r="H929" s="4" t="s">
        <v>4112</v>
      </c>
      <c r="I929" s="82">
        <v>36.490676200000003</v>
      </c>
      <c r="J929" s="74">
        <v>-118.8255468</v>
      </c>
      <c r="K929" s="75">
        <f>3500</f>
        <v>3500</v>
      </c>
      <c r="L929" s="4">
        <v>1960</v>
      </c>
      <c r="M929" s="4">
        <v>2017</v>
      </c>
      <c r="N929" s="75" t="s">
        <v>2276</v>
      </c>
      <c r="O929" s="4" t="s">
        <v>67</v>
      </c>
      <c r="P929" s="204" t="s">
        <v>5187</v>
      </c>
      <c r="Q929" s="4"/>
    </row>
    <row r="930" spans="1:17" s="203" customFormat="1" ht="45.5" customHeight="1">
      <c r="A930" s="193">
        <v>258</v>
      </c>
      <c r="B930" s="41" t="s">
        <v>6106</v>
      </c>
      <c r="C930" s="4" t="s">
        <v>6641</v>
      </c>
      <c r="D930" s="4" t="s">
        <v>2398</v>
      </c>
      <c r="E930" s="11" t="s">
        <v>4847</v>
      </c>
      <c r="F930" s="4" t="s">
        <v>6644</v>
      </c>
      <c r="G930" s="4" t="s">
        <v>4132</v>
      </c>
      <c r="H930" s="4" t="s">
        <v>4112</v>
      </c>
      <c r="I930" s="82">
        <v>37.853309000000003</v>
      </c>
      <c r="J930" s="74">
        <v>-119.55110999999999</v>
      </c>
      <c r="K930" s="75">
        <v>3027</v>
      </c>
      <c r="L930" s="4">
        <v>1960</v>
      </c>
      <c r="M930" s="4">
        <v>2017</v>
      </c>
      <c r="N930" s="75" t="s">
        <v>2276</v>
      </c>
      <c r="O930" s="4" t="s">
        <v>67</v>
      </c>
      <c r="P930" s="204" t="s">
        <v>5187</v>
      </c>
      <c r="Q930" s="4"/>
    </row>
    <row r="931" spans="1:17" s="203" customFormat="1" ht="45.5" customHeight="1">
      <c r="A931" s="193">
        <v>258</v>
      </c>
      <c r="B931" s="41" t="s">
        <v>6106</v>
      </c>
      <c r="C931" s="4" t="s">
        <v>6642</v>
      </c>
      <c r="D931" s="4" t="s">
        <v>2398</v>
      </c>
      <c r="E931" s="11" t="s">
        <v>4847</v>
      </c>
      <c r="F931" s="4" t="s">
        <v>6645</v>
      </c>
      <c r="G931" s="4" t="s">
        <v>4132</v>
      </c>
      <c r="H931" s="4" t="s">
        <v>4112</v>
      </c>
      <c r="I931" s="82">
        <v>40.496962500000002</v>
      </c>
      <c r="J931" s="74">
        <v>-121.4102163</v>
      </c>
      <c r="K931" s="75">
        <v>430.8</v>
      </c>
      <c r="L931" s="4">
        <v>1960</v>
      </c>
      <c r="M931" s="4">
        <v>2017</v>
      </c>
      <c r="N931" s="75" t="s">
        <v>2276</v>
      </c>
      <c r="O931" s="4" t="s">
        <v>67</v>
      </c>
      <c r="P931" s="204"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6666</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6667</v>
      </c>
    </row>
    <row r="934" spans="1:17" ht="45.5" customHeight="1">
      <c r="A934" s="193">
        <v>260</v>
      </c>
      <c r="B934" s="41" t="s">
        <v>6666</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3" customFormat="1" ht="45.5" customHeight="1">
      <c r="A935" s="193">
        <v>260</v>
      </c>
      <c r="B935" s="41" t="s">
        <v>6666</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6187</v>
      </c>
      <c r="Q935" s="4"/>
    </row>
    <row r="936" spans="1:17" ht="45.5" customHeight="1">
      <c r="A936" s="193">
        <v>260</v>
      </c>
      <c r="B936" s="41" t="s">
        <v>6666</v>
      </c>
      <c r="C936" s="4" t="s">
        <v>6676</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6680</v>
      </c>
    </row>
    <row r="937" spans="1:17" ht="45.5" customHeight="1">
      <c r="A937" s="193">
        <v>261</v>
      </c>
      <c r="B937" s="41" t="s">
        <v>6115</v>
      </c>
      <c r="C937" s="4" t="s">
        <v>6154</v>
      </c>
      <c r="D937" s="4" t="s">
        <v>2398</v>
      </c>
      <c r="E937" s="11" t="s">
        <v>4847</v>
      </c>
      <c r="F937" s="4" t="s">
        <v>2276</v>
      </c>
      <c r="G937" s="4" t="s">
        <v>6682</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6682</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6682</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6682</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6682</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6682</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3" customFormat="1" ht="45.5" customHeight="1">
      <c r="A949" s="213">
        <v>266</v>
      </c>
      <c r="B949" s="214" t="s">
        <v>6800</v>
      </c>
      <c r="C949" s="19" t="s">
        <v>6166</v>
      </c>
      <c r="D949" s="4" t="s">
        <v>2398</v>
      </c>
      <c r="E949" s="4" t="s">
        <v>6802</v>
      </c>
      <c r="F949" s="4" t="s">
        <v>2276</v>
      </c>
      <c r="G949" s="19" t="s">
        <v>6801</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3" customFormat="1" ht="45.5" customHeight="1">
      <c r="A950" s="213">
        <v>266</v>
      </c>
      <c r="B950" s="214" t="s">
        <v>6800</v>
      </c>
      <c r="C950" s="19" t="s">
        <v>6167</v>
      </c>
      <c r="D950" s="4" t="s">
        <v>2398</v>
      </c>
      <c r="E950" s="4" t="s">
        <v>4847</v>
      </c>
      <c r="F950" s="4" t="s">
        <v>2276</v>
      </c>
      <c r="G950" s="19" t="s">
        <v>6801</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4"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4"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4"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4"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4"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4"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4"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4"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4"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4"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4"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4" t="s">
        <v>6187</v>
      </c>
      <c r="Q962" s="4"/>
    </row>
    <row r="963" spans="1:17" s="203" customFormat="1" ht="45.5" customHeight="1">
      <c r="A963" s="213">
        <v>268</v>
      </c>
      <c r="B963" s="214" t="s">
        <v>6807</v>
      </c>
      <c r="C963" s="19" t="s">
        <v>6180</v>
      </c>
      <c r="D963" s="4" t="s">
        <v>2398</v>
      </c>
      <c r="E963" s="4" t="s">
        <v>2400</v>
      </c>
      <c r="F963" s="19" t="s">
        <v>6809</v>
      </c>
      <c r="G963" s="4" t="s">
        <v>2276</v>
      </c>
      <c r="H963" s="19" t="s">
        <v>6808</v>
      </c>
      <c r="I963" s="82">
        <v>46.091164999999997</v>
      </c>
      <c r="J963" s="74">
        <v>15.9262975</v>
      </c>
      <c r="K963" s="82">
        <v>1224</v>
      </c>
      <c r="L963" s="19">
        <v>1991</v>
      </c>
      <c r="M963" s="19">
        <v>2011</v>
      </c>
      <c r="N963" s="75">
        <f>133000/K963</f>
        <v>108.66013071895425</v>
      </c>
      <c r="O963" s="4" t="s">
        <v>67</v>
      </c>
      <c r="P963" s="204" t="s">
        <v>5187</v>
      </c>
      <c r="Q963" s="19"/>
    </row>
    <row r="964" spans="1:17" ht="45.5" customHeight="1">
      <c r="A964" s="213">
        <v>269</v>
      </c>
      <c r="B964" s="214" t="s">
        <v>6810</v>
      </c>
      <c r="C964" s="19" t="s">
        <v>6181</v>
      </c>
      <c r="D964" s="19" t="s">
        <v>2398</v>
      </c>
      <c r="E964" s="11" t="s">
        <v>2636</v>
      </c>
      <c r="F964" s="19" t="s">
        <v>6811</v>
      </c>
      <c r="G964" s="4" t="s">
        <v>2276</v>
      </c>
      <c r="H964" s="19" t="s">
        <v>4051</v>
      </c>
      <c r="I964" s="21">
        <v>38.683346999999998</v>
      </c>
      <c r="J964" s="21">
        <v>22.023790300000002</v>
      </c>
      <c r="K964" s="82">
        <f>56000/100</f>
        <v>560</v>
      </c>
      <c r="L964" s="19">
        <v>2000</v>
      </c>
      <c r="M964" s="19">
        <v>2000</v>
      </c>
      <c r="N964" s="82">
        <v>8</v>
      </c>
      <c r="O964" s="4" t="s">
        <v>67</v>
      </c>
      <c r="P964" s="204" t="s">
        <v>5187</v>
      </c>
      <c r="Q964" s="19"/>
    </row>
    <row r="965" spans="1:17" s="203" customFormat="1" ht="45.5" customHeight="1">
      <c r="A965" s="213">
        <v>269</v>
      </c>
      <c r="B965" s="214" t="s">
        <v>6810</v>
      </c>
      <c r="C965" s="19" t="s">
        <v>6812</v>
      </c>
      <c r="D965" s="19" t="s">
        <v>2398</v>
      </c>
      <c r="E965" s="11" t="s">
        <v>2636</v>
      </c>
      <c r="F965" s="19" t="s">
        <v>6835</v>
      </c>
      <c r="G965" s="4" t="s">
        <v>2276</v>
      </c>
      <c r="H965" s="19" t="s">
        <v>4051</v>
      </c>
      <c r="I965" s="21">
        <v>35.25</v>
      </c>
      <c r="J965" s="21">
        <v>25.15</v>
      </c>
      <c r="K965" s="82">
        <f>45000/100</f>
        <v>450</v>
      </c>
      <c r="L965" s="19">
        <v>2000</v>
      </c>
      <c r="M965" s="19">
        <v>2000</v>
      </c>
      <c r="N965" s="82">
        <v>59</v>
      </c>
      <c r="O965" s="4" t="s">
        <v>67</v>
      </c>
      <c r="P965" s="204" t="s">
        <v>5187</v>
      </c>
      <c r="Q965" s="19"/>
    </row>
    <row r="966" spans="1:17" s="203" customFormat="1" ht="45.5" customHeight="1">
      <c r="A966" s="213">
        <v>269</v>
      </c>
      <c r="B966" s="214" t="s">
        <v>6810</v>
      </c>
      <c r="C966" s="19" t="s">
        <v>6813</v>
      </c>
      <c r="D966" s="19" t="s">
        <v>2398</v>
      </c>
      <c r="E966" s="11" t="s">
        <v>2636</v>
      </c>
      <c r="F966" s="19" t="s">
        <v>6836</v>
      </c>
      <c r="G966" s="4" t="s">
        <v>6837</v>
      </c>
      <c r="H966" s="19" t="s">
        <v>6116</v>
      </c>
      <c r="I966" s="21">
        <v>42.882364872224102</v>
      </c>
      <c r="J966" s="21">
        <v>2.59374381836796</v>
      </c>
      <c r="K966" s="82">
        <f>250000/100</f>
        <v>2500</v>
      </c>
      <c r="L966" s="19">
        <v>2000</v>
      </c>
      <c r="M966" s="19">
        <v>2000</v>
      </c>
      <c r="N966" s="82">
        <v>13</v>
      </c>
      <c r="O966" s="4" t="s">
        <v>67</v>
      </c>
      <c r="P966" s="204" t="s">
        <v>5187</v>
      </c>
      <c r="Q966" s="19"/>
    </row>
    <row r="967" spans="1:17" s="203" customFormat="1" ht="45.5" customHeight="1">
      <c r="A967" s="213">
        <v>269</v>
      </c>
      <c r="B967" s="214" t="s">
        <v>6810</v>
      </c>
      <c r="C967" s="19" t="s">
        <v>6814</v>
      </c>
      <c r="D967" s="19" t="s">
        <v>2398</v>
      </c>
      <c r="E967" s="11" t="s">
        <v>2636</v>
      </c>
      <c r="F967" s="19" t="s">
        <v>6838</v>
      </c>
      <c r="G967" s="4" t="s">
        <v>2276</v>
      </c>
      <c r="H967" s="4" t="s">
        <v>4942</v>
      </c>
      <c r="I967" s="21">
        <v>42.192011899999997</v>
      </c>
      <c r="J967" s="21">
        <v>13.728916699999999</v>
      </c>
      <c r="K967" s="82">
        <f>190000/100</f>
        <v>1900</v>
      </c>
      <c r="L967" s="19">
        <v>2000</v>
      </c>
      <c r="M967" s="19">
        <v>2000</v>
      </c>
      <c r="N967" s="82">
        <v>30</v>
      </c>
      <c r="O967" s="4" t="s">
        <v>67</v>
      </c>
      <c r="P967" s="204" t="s">
        <v>5187</v>
      </c>
      <c r="Q967" s="19"/>
    </row>
    <row r="968" spans="1:17" s="203" customFormat="1" ht="45.5" customHeight="1">
      <c r="A968" s="213">
        <v>269</v>
      </c>
      <c r="B968" s="214" t="s">
        <v>6810</v>
      </c>
      <c r="C968" s="19" t="s">
        <v>6815</v>
      </c>
      <c r="D968" s="19" t="s">
        <v>2398</v>
      </c>
      <c r="E968" s="11" t="s">
        <v>2636</v>
      </c>
      <c r="F968" s="19" t="s">
        <v>6839</v>
      </c>
      <c r="G968" s="4" t="s">
        <v>2276</v>
      </c>
      <c r="H968" s="4" t="s">
        <v>4942</v>
      </c>
      <c r="I968" s="21">
        <v>40.643076600000001</v>
      </c>
      <c r="J968" s="21">
        <v>15.9699878</v>
      </c>
      <c r="K968" s="82">
        <f>201000/100</f>
        <v>2010</v>
      </c>
      <c r="L968" s="19">
        <v>2000</v>
      </c>
      <c r="M968" s="19">
        <v>2000</v>
      </c>
      <c r="N968" s="82">
        <v>54</v>
      </c>
      <c r="O968" s="4" t="s">
        <v>67</v>
      </c>
      <c r="P968" s="204" t="s">
        <v>5187</v>
      </c>
      <c r="Q968" s="19"/>
    </row>
    <row r="969" spans="1:17" s="203" customFormat="1" ht="45.5" customHeight="1">
      <c r="A969" s="213">
        <v>269</v>
      </c>
      <c r="B969" s="214" t="s">
        <v>6810</v>
      </c>
      <c r="C969" s="19" t="s">
        <v>6816</v>
      </c>
      <c r="D969" s="19" t="s">
        <v>2398</v>
      </c>
      <c r="E969" s="11" t="s">
        <v>2636</v>
      </c>
      <c r="F969" s="19" t="s">
        <v>6840</v>
      </c>
      <c r="G969" s="4" t="s">
        <v>2276</v>
      </c>
      <c r="H969" s="19" t="s">
        <v>4314</v>
      </c>
      <c r="I969" s="21">
        <v>37.083300100000002</v>
      </c>
      <c r="J969" s="21">
        <v>-3.0666983999999999</v>
      </c>
      <c r="K969" s="82">
        <f>70000/100</f>
        <v>700</v>
      </c>
      <c r="L969" s="19">
        <v>2000</v>
      </c>
      <c r="M969" s="19">
        <v>2000</v>
      </c>
      <c r="N969" s="82">
        <v>65</v>
      </c>
      <c r="O969" s="4" t="s">
        <v>67</v>
      </c>
      <c r="P969" s="204" t="s">
        <v>5187</v>
      </c>
      <c r="Q969" s="19"/>
    </row>
    <row r="970" spans="1:17" s="203" customFormat="1" ht="45.5" customHeight="1">
      <c r="A970" s="213">
        <v>269</v>
      </c>
      <c r="B970" s="214" t="s">
        <v>6810</v>
      </c>
      <c r="C970" s="19" t="s">
        <v>6817</v>
      </c>
      <c r="D970" s="19" t="s">
        <v>2398</v>
      </c>
      <c r="E970" s="11" t="s">
        <v>2636</v>
      </c>
      <c r="F970" s="19" t="s">
        <v>6841</v>
      </c>
      <c r="G970" s="4" t="s">
        <v>2276</v>
      </c>
      <c r="H970" s="19" t="s">
        <v>6112</v>
      </c>
      <c r="I970" s="21">
        <v>41.486120300000003</v>
      </c>
      <c r="J970" s="21">
        <v>-7.1787644000000004</v>
      </c>
      <c r="K970" s="82">
        <f>340000/100</f>
        <v>3400</v>
      </c>
      <c r="L970" s="19">
        <v>2000</v>
      </c>
      <c r="M970" s="19">
        <v>2000</v>
      </c>
      <c r="N970" s="82">
        <v>27</v>
      </c>
      <c r="O970" s="4" t="s">
        <v>67</v>
      </c>
      <c r="P970" s="204" t="s">
        <v>5187</v>
      </c>
      <c r="Q970" s="19"/>
    </row>
    <row r="971" spans="1:17" s="203" customFormat="1" ht="45.5" customHeight="1">
      <c r="A971" s="213">
        <v>269</v>
      </c>
      <c r="B971" s="214" t="s">
        <v>6810</v>
      </c>
      <c r="C971" s="19" t="s">
        <v>6818</v>
      </c>
      <c r="D971" s="19" t="s">
        <v>2398</v>
      </c>
      <c r="E971" s="11" t="s">
        <v>2636</v>
      </c>
      <c r="F971" s="19" t="s">
        <v>6842</v>
      </c>
      <c r="G971" s="4" t="s">
        <v>2276</v>
      </c>
      <c r="H971" s="19" t="s">
        <v>5091</v>
      </c>
      <c r="I971" s="21">
        <v>64.201952800000001</v>
      </c>
      <c r="J971" s="21">
        <v>19.718870200000001</v>
      </c>
      <c r="K971" s="82">
        <f>265000/100</f>
        <v>2650</v>
      </c>
      <c r="L971" s="19">
        <v>2000</v>
      </c>
      <c r="M971" s="19">
        <v>2000</v>
      </c>
      <c r="N971" s="82">
        <v>2</v>
      </c>
      <c r="O971" s="4" t="s">
        <v>67</v>
      </c>
      <c r="P971" s="204" t="s">
        <v>5187</v>
      </c>
      <c r="Q971" s="19"/>
    </row>
    <row r="972" spans="1:17" s="203" customFormat="1" ht="45.5" customHeight="1">
      <c r="A972" s="213">
        <v>269</v>
      </c>
      <c r="B972" s="214" t="s">
        <v>6810</v>
      </c>
      <c r="C972" s="19" t="s">
        <v>6819</v>
      </c>
      <c r="D972" s="19" t="s">
        <v>2398</v>
      </c>
      <c r="E972" s="11" t="s">
        <v>2636</v>
      </c>
      <c r="F972" s="19" t="s">
        <v>6843</v>
      </c>
      <c r="G972" s="4" t="s">
        <v>2276</v>
      </c>
      <c r="H972" s="19" t="s">
        <v>6844</v>
      </c>
      <c r="I972" s="21">
        <v>63.064316499999997</v>
      </c>
      <c r="J972" s="21">
        <v>28.322957899999999</v>
      </c>
      <c r="K972" s="82">
        <f>1999000/100</f>
        <v>19990</v>
      </c>
      <c r="L972" s="19">
        <v>2000</v>
      </c>
      <c r="M972" s="19">
        <v>2000</v>
      </c>
      <c r="N972" s="82">
        <v>14</v>
      </c>
      <c r="O972" s="4" t="s">
        <v>67</v>
      </c>
      <c r="P972" s="204" t="s">
        <v>5187</v>
      </c>
      <c r="Q972" s="19"/>
    </row>
    <row r="973" spans="1:17" s="203" customFormat="1" ht="45.5" customHeight="1">
      <c r="A973" s="213">
        <v>269</v>
      </c>
      <c r="B973" s="214" t="s">
        <v>6810</v>
      </c>
      <c r="C973" s="19" t="s">
        <v>6820</v>
      </c>
      <c r="D973" s="19" t="s">
        <v>2398</v>
      </c>
      <c r="E973" s="11" t="s">
        <v>2636</v>
      </c>
      <c r="F973" s="19" t="s">
        <v>6845</v>
      </c>
      <c r="G973" s="4" t="s">
        <v>2276</v>
      </c>
      <c r="H973" s="19" t="s">
        <v>6846</v>
      </c>
      <c r="I973" s="21">
        <v>47.075139200000002</v>
      </c>
      <c r="J973" s="21">
        <v>10.6642951</v>
      </c>
      <c r="K973" s="82">
        <f>335000/100</f>
        <v>3350</v>
      </c>
      <c r="L973" s="19">
        <v>2000</v>
      </c>
      <c r="M973" s="19">
        <v>2000</v>
      </c>
      <c r="N973" s="82">
        <v>26</v>
      </c>
      <c r="O973" s="4" t="s">
        <v>67</v>
      </c>
      <c r="P973" s="204" t="s">
        <v>5187</v>
      </c>
      <c r="Q973" s="19"/>
    </row>
    <row r="974" spans="1:17" s="203" customFormat="1" ht="45.5" customHeight="1">
      <c r="A974" s="213">
        <v>269</v>
      </c>
      <c r="B974" s="214" t="s">
        <v>6810</v>
      </c>
      <c r="C974" s="19" t="s">
        <v>6821</v>
      </c>
      <c r="D974" s="19" t="s">
        <v>2398</v>
      </c>
      <c r="E974" s="11" t="s">
        <v>2636</v>
      </c>
      <c r="F974" s="19" t="s">
        <v>6847</v>
      </c>
      <c r="G974" s="4" t="s">
        <v>2276</v>
      </c>
      <c r="H974" s="19" t="s">
        <v>6854</v>
      </c>
      <c r="I974" s="21">
        <v>46.2840104</v>
      </c>
      <c r="J974" s="21">
        <v>13.8594144</v>
      </c>
      <c r="K974" s="82">
        <f>84000/100</f>
        <v>840</v>
      </c>
      <c r="L974" s="19">
        <v>2000</v>
      </c>
      <c r="M974" s="19">
        <v>2000</v>
      </c>
      <c r="N974" s="82">
        <v>22</v>
      </c>
      <c r="O974" s="4" t="s">
        <v>67</v>
      </c>
      <c r="P974" s="204" t="s">
        <v>5187</v>
      </c>
      <c r="Q974" s="19"/>
    </row>
    <row r="975" spans="1:17" s="203" customFormat="1" ht="45.5" customHeight="1">
      <c r="A975" s="213">
        <v>269</v>
      </c>
      <c r="B975" s="214" t="s">
        <v>6810</v>
      </c>
      <c r="C975" s="19" t="s">
        <v>6822</v>
      </c>
      <c r="D975" s="19" t="s">
        <v>2398</v>
      </c>
      <c r="E975" s="11" t="s">
        <v>2636</v>
      </c>
      <c r="F975" s="19" t="s">
        <v>6864</v>
      </c>
      <c r="G975" s="4" t="s">
        <v>6865</v>
      </c>
      <c r="H975" s="19" t="s">
        <v>4942</v>
      </c>
      <c r="I975" s="21">
        <v>46.1666667</v>
      </c>
      <c r="J975" s="21">
        <v>11.25</v>
      </c>
      <c r="K975" s="82">
        <f>15000/100</f>
        <v>150</v>
      </c>
      <c r="L975" s="19">
        <v>2000</v>
      </c>
      <c r="M975" s="19">
        <v>2000</v>
      </c>
      <c r="N975" s="82">
        <v>69</v>
      </c>
      <c r="O975" s="4" t="s">
        <v>67</v>
      </c>
      <c r="P975" s="204" t="s">
        <v>5187</v>
      </c>
      <c r="Q975" s="19"/>
    </row>
    <row r="976" spans="1:17" s="203" customFormat="1" ht="45.5" customHeight="1">
      <c r="A976" s="213">
        <v>269</v>
      </c>
      <c r="B976" s="214" t="s">
        <v>6810</v>
      </c>
      <c r="C976" s="19" t="s">
        <v>6823</v>
      </c>
      <c r="D976" s="19" t="s">
        <v>2398</v>
      </c>
      <c r="E976" s="11" t="s">
        <v>2636</v>
      </c>
      <c r="F976" s="19" t="s">
        <v>6848</v>
      </c>
      <c r="G976" s="4" t="s">
        <v>2276</v>
      </c>
      <c r="H976" s="19" t="s">
        <v>6850</v>
      </c>
      <c r="I976" s="21">
        <v>47.3161925</v>
      </c>
      <c r="J976" s="21">
        <v>9.4316572999999995</v>
      </c>
      <c r="K976" s="82">
        <f>24000/100</f>
        <v>240</v>
      </c>
      <c r="L976" s="19">
        <v>2000</v>
      </c>
      <c r="M976" s="19">
        <v>2000</v>
      </c>
      <c r="N976" s="82">
        <v>224</v>
      </c>
      <c r="O976" s="4" t="s">
        <v>67</v>
      </c>
      <c r="P976" s="204" t="s">
        <v>5187</v>
      </c>
      <c r="Q976" s="19"/>
    </row>
    <row r="977" spans="1:17" s="203" customFormat="1" ht="45.5" customHeight="1">
      <c r="A977" s="213">
        <v>269</v>
      </c>
      <c r="B977" s="214" t="s">
        <v>6810</v>
      </c>
      <c r="C977" s="19" t="s">
        <v>6824</v>
      </c>
      <c r="D977" s="19" t="s">
        <v>2398</v>
      </c>
      <c r="E977" s="11" t="s">
        <v>2636</v>
      </c>
      <c r="F977" s="19" t="s">
        <v>6849</v>
      </c>
      <c r="G977" s="4" t="s">
        <v>2276</v>
      </c>
      <c r="H977" s="19" t="s">
        <v>6851</v>
      </c>
      <c r="I977" s="21">
        <v>47.539197100000003</v>
      </c>
      <c r="J977" s="21">
        <v>10.284401600000001</v>
      </c>
      <c r="K977" s="82">
        <f>153000/100</f>
        <v>1530</v>
      </c>
      <c r="L977" s="19">
        <v>2000</v>
      </c>
      <c r="M977" s="19">
        <v>2000</v>
      </c>
      <c r="N977" s="82">
        <v>94</v>
      </c>
      <c r="O977" s="4" t="s">
        <v>67</v>
      </c>
      <c r="P977" s="204" t="s">
        <v>5187</v>
      </c>
      <c r="Q977" s="19"/>
    </row>
    <row r="978" spans="1:17" s="203" customFormat="1" ht="45.5" customHeight="1">
      <c r="A978" s="213">
        <v>269</v>
      </c>
      <c r="B978" s="214" t="s">
        <v>6810</v>
      </c>
      <c r="C978" s="19" t="s">
        <v>6825</v>
      </c>
      <c r="D978" s="19" t="s">
        <v>2398</v>
      </c>
      <c r="E978" s="11" t="s">
        <v>2636</v>
      </c>
      <c r="F978" s="19" t="s">
        <v>6853</v>
      </c>
      <c r="G978" s="4" t="s">
        <v>6852</v>
      </c>
      <c r="H978" s="19" t="s">
        <v>6116</v>
      </c>
      <c r="I978" s="21">
        <v>45.717104900000002</v>
      </c>
      <c r="J978" s="21">
        <v>6.5742919999999998</v>
      </c>
      <c r="K978" s="82">
        <f>3890</f>
        <v>3890</v>
      </c>
      <c r="L978" s="19">
        <v>2000</v>
      </c>
      <c r="M978" s="19">
        <v>2000</v>
      </c>
      <c r="N978" s="82">
        <v>22</v>
      </c>
      <c r="O978" s="4" t="s">
        <v>67</v>
      </c>
      <c r="P978" s="204" t="s">
        <v>5187</v>
      </c>
      <c r="Q978" s="19"/>
    </row>
    <row r="979" spans="1:17" s="203" customFormat="1" ht="45.5" customHeight="1">
      <c r="A979" s="213">
        <v>269</v>
      </c>
      <c r="B979" s="214" t="s">
        <v>6810</v>
      </c>
      <c r="C979" s="19" t="s">
        <v>6826</v>
      </c>
      <c r="D979" s="19" t="s">
        <v>2398</v>
      </c>
      <c r="E979" s="11" t="s">
        <v>2636</v>
      </c>
      <c r="F979" s="19" t="s">
        <v>6855</v>
      </c>
      <c r="G979" s="4" t="s">
        <v>2276</v>
      </c>
      <c r="H979" s="19" t="s">
        <v>4942</v>
      </c>
      <c r="I979" s="21">
        <v>45.738887800000001</v>
      </c>
      <c r="J979" s="21">
        <v>7.4261866000000003</v>
      </c>
      <c r="K979" s="82">
        <v>3260</v>
      </c>
      <c r="L979" s="19">
        <v>2000</v>
      </c>
      <c r="M979" s="19">
        <v>2000</v>
      </c>
      <c r="N979" s="82">
        <v>36</v>
      </c>
      <c r="O979" s="4" t="s">
        <v>67</v>
      </c>
      <c r="P979" s="204" t="s">
        <v>5187</v>
      </c>
      <c r="Q979" s="19"/>
    </row>
    <row r="980" spans="1:17" s="203" customFormat="1" ht="45.5" customHeight="1">
      <c r="A980" s="213">
        <v>269</v>
      </c>
      <c r="B980" s="214" t="s">
        <v>6810</v>
      </c>
      <c r="C980" s="19" t="s">
        <v>6827</v>
      </c>
      <c r="D980" s="19" t="s">
        <v>2398</v>
      </c>
      <c r="E980" s="11" t="s">
        <v>2636</v>
      </c>
      <c r="F980" s="19" t="s">
        <v>6856</v>
      </c>
      <c r="G980" s="4" t="s">
        <v>2276</v>
      </c>
      <c r="H980" s="19" t="s">
        <v>6850</v>
      </c>
      <c r="I980" s="21">
        <v>46.190461399999997</v>
      </c>
      <c r="J980" s="21">
        <v>7.5449225999999996</v>
      </c>
      <c r="K980" s="82">
        <v>5220</v>
      </c>
      <c r="L980" s="19">
        <v>2000</v>
      </c>
      <c r="M980" s="19">
        <v>2000</v>
      </c>
      <c r="N980" s="82">
        <v>52</v>
      </c>
      <c r="O980" s="4" t="s">
        <v>67</v>
      </c>
      <c r="P980" s="204" t="s">
        <v>5187</v>
      </c>
      <c r="Q980" s="19"/>
    </row>
    <row r="981" spans="1:17" s="203" customFormat="1" ht="45.5" customHeight="1">
      <c r="A981" s="213">
        <v>269</v>
      </c>
      <c r="B981" s="214" t="s">
        <v>6810</v>
      </c>
      <c r="C981" s="19" t="s">
        <v>6828</v>
      </c>
      <c r="D981" s="19" t="s">
        <v>2398</v>
      </c>
      <c r="E981" s="11" t="s">
        <v>2636</v>
      </c>
      <c r="F981" s="19" t="s">
        <v>6866</v>
      </c>
      <c r="G981" s="4" t="s">
        <v>6867</v>
      </c>
      <c r="H981" s="19" t="s">
        <v>6116</v>
      </c>
      <c r="I981" s="21">
        <v>44.967608599999998</v>
      </c>
      <c r="J981" s="21">
        <v>5.5300643000000003</v>
      </c>
      <c r="K981" s="82">
        <v>1770</v>
      </c>
      <c r="L981" s="19">
        <v>2000</v>
      </c>
      <c r="M981" s="19">
        <v>2000</v>
      </c>
      <c r="N981" s="82">
        <v>17</v>
      </c>
      <c r="O981" s="4" t="s">
        <v>67</v>
      </c>
      <c r="P981" s="204" t="s">
        <v>5187</v>
      </c>
      <c r="Q981" s="19"/>
    </row>
    <row r="982" spans="1:17" s="203" customFormat="1" ht="45.5" customHeight="1">
      <c r="A982" s="213">
        <v>269</v>
      </c>
      <c r="B982" s="214" t="s">
        <v>6810</v>
      </c>
      <c r="C982" s="19" t="s">
        <v>6829</v>
      </c>
      <c r="D982" s="19" t="s">
        <v>2398</v>
      </c>
      <c r="E982" s="11" t="s">
        <v>2636</v>
      </c>
      <c r="F982" s="19" t="s">
        <v>6857</v>
      </c>
      <c r="G982" s="4" t="s">
        <v>2276</v>
      </c>
      <c r="H982" s="19" t="s">
        <v>6116</v>
      </c>
      <c r="I982" s="21">
        <v>46.374850000000002</v>
      </c>
      <c r="J982" s="21">
        <v>5.9737280000000004</v>
      </c>
      <c r="K982" s="82">
        <v>4300</v>
      </c>
      <c r="L982" s="19">
        <v>2000</v>
      </c>
      <c r="M982" s="19">
        <v>2000</v>
      </c>
      <c r="N982" s="82">
        <v>35</v>
      </c>
      <c r="O982" s="4" t="s">
        <v>67</v>
      </c>
      <c r="P982" s="204" t="s">
        <v>5187</v>
      </c>
      <c r="Q982" s="19"/>
    </row>
    <row r="983" spans="1:17" s="203" customFormat="1" ht="45.5" customHeight="1">
      <c r="A983" s="213">
        <v>269</v>
      </c>
      <c r="B983" s="214" t="s">
        <v>6810</v>
      </c>
      <c r="C983" s="19" t="s">
        <v>6830</v>
      </c>
      <c r="D983" s="19" t="s">
        <v>2398</v>
      </c>
      <c r="E983" s="11" t="s">
        <v>2636</v>
      </c>
      <c r="F983" s="19" t="s">
        <v>6859</v>
      </c>
      <c r="G983" s="4" t="s">
        <v>6858</v>
      </c>
      <c r="H983" s="19" t="s">
        <v>4314</v>
      </c>
      <c r="I983" s="21">
        <v>43.187215500000001</v>
      </c>
      <c r="J983" s="21">
        <v>-4.8215240000000001</v>
      </c>
      <c r="K983" s="82">
        <v>1800</v>
      </c>
      <c r="L983" s="19">
        <v>2000</v>
      </c>
      <c r="M983" s="19">
        <v>2000</v>
      </c>
      <c r="N983" s="82">
        <v>10</v>
      </c>
      <c r="O983" s="4" t="s">
        <v>67</v>
      </c>
      <c r="P983" s="204" t="s">
        <v>5187</v>
      </c>
      <c r="Q983" s="19"/>
    </row>
    <row r="984" spans="1:17" s="203" customFormat="1" ht="45.5" customHeight="1">
      <c r="A984" s="213">
        <v>269</v>
      </c>
      <c r="B984" s="214" t="s">
        <v>6810</v>
      </c>
      <c r="C984" s="19" t="s">
        <v>6831</v>
      </c>
      <c r="D984" s="19" t="s">
        <v>2398</v>
      </c>
      <c r="E984" s="11" t="s">
        <v>2636</v>
      </c>
      <c r="F984" s="19" t="s">
        <v>6860</v>
      </c>
      <c r="G984" s="4" t="s">
        <v>2276</v>
      </c>
      <c r="H984" s="19" t="s">
        <v>6116</v>
      </c>
      <c r="I984" s="21">
        <v>43.244912800000002</v>
      </c>
      <c r="J984" s="21">
        <v>-1.2891036</v>
      </c>
      <c r="K984" s="82">
        <v>2480</v>
      </c>
      <c r="L984" s="19">
        <v>2000</v>
      </c>
      <c r="M984" s="19">
        <v>2000</v>
      </c>
      <c r="N984" s="82">
        <v>100</v>
      </c>
      <c r="O984" s="4" t="s">
        <v>67</v>
      </c>
      <c r="P984" s="204" t="s">
        <v>5187</v>
      </c>
      <c r="Q984" s="19"/>
    </row>
    <row r="985" spans="1:17" s="203" customFormat="1" ht="45.5" customHeight="1">
      <c r="A985" s="213">
        <v>269</v>
      </c>
      <c r="B985" s="214" t="s">
        <v>6810</v>
      </c>
      <c r="C985" s="19" t="s">
        <v>6832</v>
      </c>
      <c r="D985" s="19" t="s">
        <v>2398</v>
      </c>
      <c r="E985" s="11" t="s">
        <v>2636</v>
      </c>
      <c r="F985" s="19" t="s">
        <v>6861</v>
      </c>
      <c r="G985" s="4" t="s">
        <v>2276</v>
      </c>
      <c r="H985" s="19" t="s">
        <v>4314</v>
      </c>
      <c r="I985" s="21">
        <v>42.95</v>
      </c>
      <c r="J985" s="21">
        <v>-2.3166669999999998</v>
      </c>
      <c r="K985" s="82">
        <v>1660</v>
      </c>
      <c r="L985" s="19">
        <v>2000</v>
      </c>
      <c r="M985" s="19">
        <v>2000</v>
      </c>
      <c r="N985" s="82">
        <v>13</v>
      </c>
      <c r="O985" s="4" t="s">
        <v>67</v>
      </c>
      <c r="P985" s="204" t="s">
        <v>5187</v>
      </c>
      <c r="Q985" s="19"/>
    </row>
    <row r="986" spans="1:17" s="203" customFormat="1" ht="45.5" customHeight="1">
      <c r="A986" s="213">
        <v>269</v>
      </c>
      <c r="B986" s="214" t="s">
        <v>6810</v>
      </c>
      <c r="C986" s="19" t="s">
        <v>6833</v>
      </c>
      <c r="D986" s="19" t="s">
        <v>2398</v>
      </c>
      <c r="E986" s="11" t="s">
        <v>2636</v>
      </c>
      <c r="F986" s="19" t="s">
        <v>6862</v>
      </c>
      <c r="G986" s="4" t="s">
        <v>2276</v>
      </c>
      <c r="H986" s="19" t="s">
        <v>6116</v>
      </c>
      <c r="I986" s="21">
        <v>42.840257893276302</v>
      </c>
      <c r="J986" s="21">
        <v>1.3032658975710401</v>
      </c>
      <c r="K986" s="82">
        <v>1200</v>
      </c>
      <c r="L986" s="19">
        <v>2000</v>
      </c>
      <c r="M986" s="19">
        <v>2000</v>
      </c>
      <c r="N986" s="82">
        <v>15</v>
      </c>
      <c r="O986" s="4" t="s">
        <v>67</v>
      </c>
      <c r="P986" s="204" t="s">
        <v>5187</v>
      </c>
      <c r="Q986" s="19"/>
    </row>
    <row r="987" spans="1:17" s="203" customFormat="1" ht="45.5" customHeight="1">
      <c r="A987" s="213">
        <v>269</v>
      </c>
      <c r="B987" s="214" t="s">
        <v>6810</v>
      </c>
      <c r="C987" s="19" t="s">
        <v>6834</v>
      </c>
      <c r="D987" s="19" t="s">
        <v>2398</v>
      </c>
      <c r="E987" s="11" t="s">
        <v>2636</v>
      </c>
      <c r="F987" s="19" t="s">
        <v>6863</v>
      </c>
      <c r="G987" s="4" t="s">
        <v>2276</v>
      </c>
      <c r="H987" s="19" t="s">
        <v>4314</v>
      </c>
      <c r="I987" s="21">
        <v>42.525766405594503</v>
      </c>
      <c r="J987" s="21">
        <v>1.08426298991359</v>
      </c>
      <c r="K987" s="82">
        <v>1120</v>
      </c>
      <c r="L987" s="19">
        <v>2000</v>
      </c>
      <c r="M987" s="19">
        <v>2000</v>
      </c>
      <c r="N987" s="82">
        <v>3</v>
      </c>
      <c r="O987" s="4" t="s">
        <v>67</v>
      </c>
      <c r="P987" s="204"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3">
        <v>272</v>
      </c>
      <c r="B990" s="214" t="s">
        <v>6900</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4" t="s">
        <v>5187</v>
      </c>
      <c r="Q990" s="19" t="s">
        <v>6901</v>
      </c>
    </row>
    <row r="991" spans="1:17" s="203" customFormat="1" ht="71" customHeight="1">
      <c r="A991" s="213">
        <v>272</v>
      </c>
      <c r="B991" s="214" t="s">
        <v>6900</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4" t="s">
        <v>5187</v>
      </c>
      <c r="Q991" s="19" t="s">
        <v>6917</v>
      </c>
    </row>
    <row r="992" spans="1:17" s="203" customFormat="1" ht="71" customHeight="1">
      <c r="A992" s="213">
        <v>272</v>
      </c>
      <c r="B992" s="214" t="s">
        <v>6900</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4" t="s">
        <v>5187</v>
      </c>
      <c r="Q992" s="19" t="s">
        <v>6917</v>
      </c>
    </row>
    <row r="993" spans="1:17" s="203" customFormat="1" ht="71" customHeight="1">
      <c r="A993" s="213">
        <v>272</v>
      </c>
      <c r="B993" s="214" t="s">
        <v>6900</v>
      </c>
      <c r="C993" s="19" t="s">
        <v>6902</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4" t="s">
        <v>5187</v>
      </c>
      <c r="Q993" s="19" t="s">
        <v>6917</v>
      </c>
    </row>
    <row r="994" spans="1:17" s="203" customFormat="1" ht="71" customHeight="1">
      <c r="A994" s="213">
        <v>272</v>
      </c>
      <c r="B994" s="214" t="s">
        <v>6900</v>
      </c>
      <c r="C994" s="19" t="s">
        <v>6903</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4" t="s">
        <v>5187</v>
      </c>
      <c r="Q994" s="19" t="s">
        <v>6917</v>
      </c>
    </row>
    <row r="995" spans="1:17" s="203" customFormat="1" ht="71" customHeight="1">
      <c r="A995" s="213">
        <v>272</v>
      </c>
      <c r="B995" s="214" t="s">
        <v>6900</v>
      </c>
      <c r="C995" s="19" t="s">
        <v>6904</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4" t="s">
        <v>5187</v>
      </c>
      <c r="Q995" s="19" t="s">
        <v>6917</v>
      </c>
    </row>
    <row r="996" spans="1:17" s="203" customFormat="1" ht="71" customHeight="1">
      <c r="A996" s="213">
        <v>272</v>
      </c>
      <c r="B996" s="214" t="s">
        <v>6900</v>
      </c>
      <c r="C996" s="19" t="s">
        <v>6929</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4" t="s">
        <v>5187</v>
      </c>
      <c r="Q996" s="19" t="s">
        <v>6917</v>
      </c>
    </row>
    <row r="997" spans="1:17" ht="71" customHeight="1">
      <c r="A997" s="31">
        <v>273</v>
      </c>
      <c r="B997" s="40" t="s">
        <v>6265</v>
      </c>
      <c r="C997" s="3" t="s">
        <v>6365</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6326</v>
      </c>
      <c r="Q997" s="4" t="s">
        <v>6266</v>
      </c>
    </row>
    <row r="998" spans="1:17" ht="71" customHeight="1">
      <c r="A998" s="31">
        <v>273</v>
      </c>
      <c r="B998" s="40" t="s">
        <v>6265</v>
      </c>
      <c r="C998" s="3" t="s">
        <v>6366</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6326</v>
      </c>
      <c r="Q998" s="4" t="s">
        <v>6267</v>
      </c>
    </row>
    <row r="999" spans="1:17" ht="71" customHeight="1">
      <c r="A999" s="31">
        <v>273</v>
      </c>
      <c r="B999" s="40" t="s">
        <v>6265</v>
      </c>
      <c r="C999" s="3" t="s">
        <v>6367</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6326</v>
      </c>
      <c r="Q999" s="4" t="s">
        <v>6268</v>
      </c>
    </row>
    <row r="1000" spans="1:17" ht="71" customHeight="1">
      <c r="A1000" s="31">
        <v>274</v>
      </c>
      <c r="B1000" s="40" t="s">
        <v>6269</v>
      </c>
      <c r="C1000" s="31" t="s">
        <v>6368</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6326</v>
      </c>
      <c r="Q1000" s="4" t="s">
        <v>6327</v>
      </c>
    </row>
    <row r="1001" spans="1:17" ht="71" customHeight="1">
      <c r="A1001" s="31">
        <v>275</v>
      </c>
      <c r="B1001" s="40" t="s">
        <v>6271</v>
      </c>
      <c r="C1001" s="3" t="s">
        <v>6328</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6326</v>
      </c>
      <c r="Q1001" s="4" t="s">
        <v>6272</v>
      </c>
    </row>
    <row r="1002" spans="1:17" ht="58">
      <c r="A1002" s="31">
        <v>275</v>
      </c>
      <c r="B1002" s="40" t="s">
        <v>6271</v>
      </c>
      <c r="C1002" s="3" t="s">
        <v>6329</v>
      </c>
      <c r="D1002" s="3" t="s">
        <v>2398</v>
      </c>
      <c r="E1002" s="3" t="s">
        <v>2399</v>
      </c>
      <c r="F1002" s="3" t="s">
        <v>6273</v>
      </c>
      <c r="G1002" s="3" t="s">
        <v>90</v>
      </c>
      <c r="H1002" s="3" t="s">
        <v>88</v>
      </c>
      <c r="I1002" s="201">
        <v>29.969512000000002</v>
      </c>
      <c r="J1002" s="201">
        <v>76.878281999999999</v>
      </c>
      <c r="K1002" s="75" t="s">
        <v>2276</v>
      </c>
      <c r="L1002" s="3">
        <v>2005</v>
      </c>
      <c r="M1002" s="3">
        <v>2005</v>
      </c>
      <c r="N1002" s="75" t="s">
        <v>2276</v>
      </c>
      <c r="O1002" s="3" t="s">
        <v>67</v>
      </c>
      <c r="P1002" s="3" t="s">
        <v>6326</v>
      </c>
      <c r="Q1002" s="4" t="s">
        <v>6272</v>
      </c>
    </row>
    <row r="1003" spans="1:17" ht="58">
      <c r="A1003" s="31">
        <v>275</v>
      </c>
      <c r="B1003" s="40" t="s">
        <v>6271</v>
      </c>
      <c r="C1003" s="3" t="s">
        <v>6330</v>
      </c>
      <c r="D1003" s="3" t="s">
        <v>2398</v>
      </c>
      <c r="E1003" s="3" t="s">
        <v>2399</v>
      </c>
      <c r="F1003" s="3" t="s">
        <v>6274</v>
      </c>
      <c r="G1003" s="3" t="s">
        <v>90</v>
      </c>
      <c r="H1003" s="3" t="s">
        <v>88</v>
      </c>
      <c r="I1003" s="201">
        <v>29.149187999999999</v>
      </c>
      <c r="J1003" s="201">
        <v>75.721653000000003</v>
      </c>
      <c r="K1003" s="75" t="s">
        <v>2276</v>
      </c>
      <c r="L1003" s="3">
        <v>2005</v>
      </c>
      <c r="M1003" s="3">
        <v>2005</v>
      </c>
      <c r="N1003" s="75" t="s">
        <v>2276</v>
      </c>
      <c r="O1003" s="3" t="s">
        <v>67</v>
      </c>
      <c r="P1003" s="3" t="s">
        <v>6326</v>
      </c>
      <c r="Q1003" s="4" t="s">
        <v>6272</v>
      </c>
    </row>
    <row r="1004" spans="1:17" ht="58">
      <c r="A1004" s="31">
        <v>275</v>
      </c>
      <c r="B1004" s="40" t="s">
        <v>6275</v>
      </c>
      <c r="C1004" s="3" t="s">
        <v>6331</v>
      </c>
      <c r="D1004" s="3" t="s">
        <v>2398</v>
      </c>
      <c r="E1004" s="3" t="s">
        <v>2399</v>
      </c>
      <c r="F1004" s="3" t="s">
        <v>6276</v>
      </c>
      <c r="G1004" s="3" t="s">
        <v>6277</v>
      </c>
      <c r="H1004" s="3" t="s">
        <v>88</v>
      </c>
      <c r="I1004" s="201">
        <v>28.984462000000001</v>
      </c>
      <c r="J1004" s="201">
        <v>77.706413999999995</v>
      </c>
      <c r="K1004" s="75" t="s">
        <v>2276</v>
      </c>
      <c r="L1004" s="3">
        <v>2005</v>
      </c>
      <c r="M1004" s="3">
        <v>2005</v>
      </c>
      <c r="N1004" s="75" t="s">
        <v>2276</v>
      </c>
      <c r="O1004" s="3" t="s">
        <v>67</v>
      </c>
      <c r="P1004" s="3" t="s">
        <v>6326</v>
      </c>
      <c r="Q1004" s="4" t="s">
        <v>6272</v>
      </c>
    </row>
    <row r="1005" spans="1:17" ht="58">
      <c r="A1005" s="31">
        <v>275</v>
      </c>
      <c r="B1005" s="40" t="s">
        <v>6275</v>
      </c>
      <c r="C1005" s="3" t="s">
        <v>6332</v>
      </c>
      <c r="D1005" s="3" t="s">
        <v>2398</v>
      </c>
      <c r="E1005" s="3" t="s">
        <v>2399</v>
      </c>
      <c r="F1005" s="3" t="s">
        <v>6278</v>
      </c>
      <c r="G1005" s="3" t="s">
        <v>6277</v>
      </c>
      <c r="H1005" s="3" t="s">
        <v>88</v>
      </c>
      <c r="I1005" s="201">
        <v>26.449922999999998</v>
      </c>
      <c r="J1005" s="201">
        <v>80.331873999999999</v>
      </c>
      <c r="K1005" s="75" t="s">
        <v>2276</v>
      </c>
      <c r="L1005" s="3">
        <v>2005</v>
      </c>
      <c r="M1005" s="3">
        <v>2005</v>
      </c>
      <c r="N1005" s="75" t="s">
        <v>2276</v>
      </c>
      <c r="O1005" s="3" t="s">
        <v>67</v>
      </c>
      <c r="P1005" s="3" t="s">
        <v>6326</v>
      </c>
      <c r="Q1005" s="4" t="s">
        <v>6272</v>
      </c>
    </row>
    <row r="1006" spans="1:17" ht="58">
      <c r="A1006" s="31">
        <v>275</v>
      </c>
      <c r="B1006" s="40" t="s">
        <v>6275</v>
      </c>
      <c r="C1006" s="3" t="s">
        <v>6333</v>
      </c>
      <c r="D1006" s="3" t="s">
        <v>2398</v>
      </c>
      <c r="E1006" s="3" t="s">
        <v>2399</v>
      </c>
      <c r="F1006" s="3" t="s">
        <v>6279</v>
      </c>
      <c r="G1006" s="3" t="s">
        <v>6277</v>
      </c>
      <c r="H1006" s="3" t="s">
        <v>88</v>
      </c>
      <c r="I1006" s="201">
        <v>26.772974999999999</v>
      </c>
      <c r="J1006" s="201">
        <v>82.145792999999998</v>
      </c>
      <c r="K1006" s="75" t="s">
        <v>2276</v>
      </c>
      <c r="L1006" s="3">
        <v>2005</v>
      </c>
      <c r="M1006" s="3">
        <v>2005</v>
      </c>
      <c r="N1006" s="75" t="s">
        <v>2276</v>
      </c>
      <c r="O1006" s="3" t="s">
        <v>67</v>
      </c>
      <c r="P1006" s="3" t="s">
        <v>6326</v>
      </c>
      <c r="Q1006" s="4" t="s">
        <v>6272</v>
      </c>
    </row>
    <row r="1007" spans="1:17" ht="58">
      <c r="A1007" s="31">
        <v>275</v>
      </c>
      <c r="B1007" s="40" t="s">
        <v>6280</v>
      </c>
      <c r="C1007" s="3" t="s">
        <v>6334</v>
      </c>
      <c r="D1007" s="3" t="s">
        <v>2398</v>
      </c>
      <c r="E1007" s="3" t="s">
        <v>2399</v>
      </c>
      <c r="F1007" s="3" t="s">
        <v>6281</v>
      </c>
      <c r="G1007" s="3" t="s">
        <v>6282</v>
      </c>
      <c r="H1007" s="3" t="s">
        <v>88</v>
      </c>
      <c r="I1007" s="201">
        <v>25.466155000000001</v>
      </c>
      <c r="J1007" s="201">
        <v>84.522219000000007</v>
      </c>
      <c r="K1007" s="75" t="s">
        <v>2276</v>
      </c>
      <c r="L1007" s="3">
        <v>2005</v>
      </c>
      <c r="M1007" s="3">
        <v>2005</v>
      </c>
      <c r="N1007" s="75" t="s">
        <v>2276</v>
      </c>
      <c r="O1007" s="3" t="s">
        <v>67</v>
      </c>
      <c r="P1007" s="3" t="s">
        <v>6326</v>
      </c>
      <c r="Q1007" s="4" t="s">
        <v>6272</v>
      </c>
    </row>
    <row r="1008" spans="1:17" ht="58">
      <c r="A1008" s="31">
        <v>275</v>
      </c>
      <c r="B1008" s="40" t="s">
        <v>6280</v>
      </c>
      <c r="C1008" s="3" t="s">
        <v>6335</v>
      </c>
      <c r="D1008" s="3" t="s">
        <v>2398</v>
      </c>
      <c r="E1008" s="3" t="s">
        <v>2399</v>
      </c>
      <c r="F1008" s="3" t="s">
        <v>6283</v>
      </c>
      <c r="G1008" s="3" t="s">
        <v>6282</v>
      </c>
      <c r="H1008" s="3" t="s">
        <v>88</v>
      </c>
      <c r="I1008" s="201">
        <v>25.856027000000001</v>
      </c>
      <c r="J1008" s="201">
        <v>85.786822999999998</v>
      </c>
      <c r="K1008" s="75" t="s">
        <v>2276</v>
      </c>
      <c r="L1008" s="3">
        <v>2005</v>
      </c>
      <c r="M1008" s="3">
        <v>2005</v>
      </c>
      <c r="N1008" s="75" t="s">
        <v>2276</v>
      </c>
      <c r="O1008" s="3" t="s">
        <v>67</v>
      </c>
      <c r="P1008" s="3" t="s">
        <v>6326</v>
      </c>
      <c r="Q1008" s="4" t="s">
        <v>6272</v>
      </c>
    </row>
    <row r="1009" spans="1:17" ht="58">
      <c r="A1009" s="31">
        <v>275</v>
      </c>
      <c r="B1009" s="40" t="s">
        <v>6280</v>
      </c>
      <c r="C1009" s="3" t="s">
        <v>6336</v>
      </c>
      <c r="D1009" s="3" t="s">
        <v>2398</v>
      </c>
      <c r="E1009" s="3" t="s">
        <v>2399</v>
      </c>
      <c r="F1009" s="3" t="s">
        <v>6284</v>
      </c>
      <c r="G1009" s="3" t="s">
        <v>6282</v>
      </c>
      <c r="H1009" s="3" t="s">
        <v>88</v>
      </c>
      <c r="I1009" s="201">
        <v>25.418164000000001</v>
      </c>
      <c r="J1009" s="201">
        <v>86.127154000000004</v>
      </c>
      <c r="K1009" s="75" t="s">
        <v>2276</v>
      </c>
      <c r="L1009" s="3">
        <v>2005</v>
      </c>
      <c r="M1009" s="3">
        <v>2005</v>
      </c>
      <c r="N1009" s="75" t="s">
        <v>2276</v>
      </c>
      <c r="O1009" s="3" t="s">
        <v>67</v>
      </c>
      <c r="P1009" s="3" t="s">
        <v>6326</v>
      </c>
      <c r="Q1009" s="4" t="s">
        <v>6272</v>
      </c>
    </row>
    <row r="1010" spans="1:17" ht="58">
      <c r="A1010" s="31">
        <v>275</v>
      </c>
      <c r="B1010" s="40" t="s">
        <v>6285</v>
      </c>
      <c r="C1010" s="3" t="s">
        <v>6337</v>
      </c>
      <c r="D1010" s="3" t="s">
        <v>2398</v>
      </c>
      <c r="E1010" s="3" t="s">
        <v>2399</v>
      </c>
      <c r="F1010" s="3" t="s">
        <v>6286</v>
      </c>
      <c r="G1010" s="3" t="s">
        <v>6287</v>
      </c>
      <c r="H1010" s="3" t="s">
        <v>88</v>
      </c>
      <c r="I1010" s="201">
        <v>25.178577000000001</v>
      </c>
      <c r="J1010" s="201">
        <v>88.246117999999996</v>
      </c>
      <c r="K1010" s="75" t="s">
        <v>2276</v>
      </c>
      <c r="L1010" s="3">
        <v>2005</v>
      </c>
      <c r="M1010" s="3">
        <v>2005</v>
      </c>
      <c r="N1010" s="75" t="s">
        <v>2276</v>
      </c>
      <c r="O1010" s="3" t="s">
        <v>67</v>
      </c>
      <c r="P1010" s="3" t="s">
        <v>6326</v>
      </c>
      <c r="Q1010" s="4" t="s">
        <v>6272</v>
      </c>
    </row>
    <row r="1011" spans="1:17" ht="58">
      <c r="A1011" s="31">
        <v>275</v>
      </c>
      <c r="B1011" s="40" t="s">
        <v>6285</v>
      </c>
      <c r="C1011" s="3" t="s">
        <v>6338</v>
      </c>
      <c r="D1011" s="3" t="s">
        <v>2398</v>
      </c>
      <c r="E1011" s="3" t="s">
        <v>2399</v>
      </c>
      <c r="F1011" s="3" t="s">
        <v>6288</v>
      </c>
      <c r="G1011" s="3" t="s">
        <v>6287</v>
      </c>
      <c r="H1011" s="3" t="s">
        <v>88</v>
      </c>
      <c r="I1011" s="201">
        <v>24.617218000000001</v>
      </c>
      <c r="J1011" s="201">
        <v>88.303489999999996</v>
      </c>
      <c r="K1011" s="75" t="s">
        <v>2276</v>
      </c>
      <c r="L1011" s="3">
        <v>2005</v>
      </c>
      <c r="M1011" s="3">
        <v>2005</v>
      </c>
      <c r="N1011" s="75" t="s">
        <v>2276</v>
      </c>
      <c r="O1011" s="3" t="s">
        <v>67</v>
      </c>
      <c r="P1011" s="3" t="s">
        <v>6326</v>
      </c>
      <c r="Q1011" s="4" t="s">
        <v>6272</v>
      </c>
    </row>
    <row r="1012" spans="1:17" ht="58">
      <c r="A1012" s="31">
        <v>275</v>
      </c>
      <c r="B1012" s="40" t="s">
        <v>6285</v>
      </c>
      <c r="C1012" s="3" t="s">
        <v>6339</v>
      </c>
      <c r="D1012" s="3" t="s">
        <v>2398</v>
      </c>
      <c r="E1012" s="3" t="s">
        <v>2399</v>
      </c>
      <c r="F1012" s="3" t="s">
        <v>6289</v>
      </c>
      <c r="G1012" s="3" t="s">
        <v>6287</v>
      </c>
      <c r="H1012" s="3" t="s">
        <v>88</v>
      </c>
      <c r="I1012" s="201">
        <v>22.425661000000002</v>
      </c>
      <c r="J1012" s="201">
        <v>87.319882000000007</v>
      </c>
      <c r="K1012" s="75" t="s">
        <v>2276</v>
      </c>
      <c r="L1012" s="3">
        <v>2005</v>
      </c>
      <c r="M1012" s="3">
        <v>2005</v>
      </c>
      <c r="N1012" s="75" t="s">
        <v>2276</v>
      </c>
      <c r="O1012" s="3" t="s">
        <v>67</v>
      </c>
      <c r="P1012" s="3" t="s">
        <v>6326</v>
      </c>
      <c r="Q1012" s="4" t="s">
        <v>6272</v>
      </c>
    </row>
    <row r="1013" spans="1:17" ht="51" customHeight="1">
      <c r="A1013" s="31">
        <v>276</v>
      </c>
      <c r="B1013" s="41" t="s">
        <v>6290</v>
      </c>
      <c r="C1013" s="3" t="s">
        <v>6340</v>
      </c>
      <c r="D1013" s="3" t="s">
        <v>2398</v>
      </c>
      <c r="E1013" s="3" t="s">
        <v>2422</v>
      </c>
      <c r="F1013" s="3" t="s">
        <v>6291</v>
      </c>
      <c r="G1013" s="3" t="s">
        <v>6292</v>
      </c>
      <c r="H1013" s="3" t="s">
        <v>1052</v>
      </c>
      <c r="I1013" s="201">
        <v>18.788343999999999</v>
      </c>
      <c r="J1013" s="201">
        <v>98.985301000000007</v>
      </c>
      <c r="K1013" s="75" t="s">
        <v>2276</v>
      </c>
      <c r="L1013" s="3">
        <v>2019</v>
      </c>
      <c r="M1013" s="3">
        <v>2019</v>
      </c>
      <c r="N1013" s="75" t="s">
        <v>2276</v>
      </c>
      <c r="O1013" s="3" t="s">
        <v>67</v>
      </c>
      <c r="P1013" s="3" t="s">
        <v>6326</v>
      </c>
      <c r="Q1013" s="4" t="s">
        <v>6293</v>
      </c>
    </row>
    <row r="1014" spans="1:17" ht="87">
      <c r="A1014" s="31">
        <v>277</v>
      </c>
      <c r="B1014" s="40" t="s">
        <v>6294</v>
      </c>
      <c r="C1014" s="3" t="s">
        <v>6341</v>
      </c>
      <c r="D1014" s="3" t="s">
        <v>2398</v>
      </c>
      <c r="E1014" s="3" t="s">
        <v>2422</v>
      </c>
      <c r="F1014" s="3" t="s">
        <v>6295</v>
      </c>
      <c r="G1014" s="3" t="s">
        <v>6296</v>
      </c>
      <c r="H1014" s="3" t="s">
        <v>114</v>
      </c>
      <c r="I1014" s="201">
        <v>31.370037</v>
      </c>
      <c r="J1014" s="201">
        <v>119.54579699999999</v>
      </c>
      <c r="K1014" s="75" t="s">
        <v>2276</v>
      </c>
      <c r="L1014" s="3">
        <v>2016</v>
      </c>
      <c r="M1014" s="3">
        <v>2016</v>
      </c>
      <c r="N1014" s="75" t="s">
        <v>2276</v>
      </c>
      <c r="O1014" s="3" t="s">
        <v>67</v>
      </c>
      <c r="P1014" s="3" t="s">
        <v>6326</v>
      </c>
      <c r="Q1014" s="4" t="s">
        <v>6297</v>
      </c>
    </row>
    <row r="1015" spans="1:17" ht="115.5" customHeight="1">
      <c r="A1015" s="31">
        <v>277</v>
      </c>
      <c r="B1015" s="40" t="s">
        <v>6294</v>
      </c>
      <c r="C1015" s="3" t="s">
        <v>6505</v>
      </c>
      <c r="D1015" s="3" t="s">
        <v>2398</v>
      </c>
      <c r="E1015" s="3" t="s">
        <v>2422</v>
      </c>
      <c r="F1015" s="3" t="s">
        <v>6298</v>
      </c>
      <c r="G1015" s="3" t="s">
        <v>6296</v>
      </c>
      <c r="H1015" s="3" t="s">
        <v>114</v>
      </c>
      <c r="I1015" s="201">
        <v>31.654971</v>
      </c>
      <c r="J1015" s="201">
        <v>120.753182</v>
      </c>
      <c r="K1015" s="75" t="s">
        <v>2276</v>
      </c>
      <c r="L1015" s="3">
        <v>2016</v>
      </c>
      <c r="M1015" s="3">
        <v>2016</v>
      </c>
      <c r="N1015" s="75" t="s">
        <v>2276</v>
      </c>
      <c r="O1015" s="3" t="s">
        <v>67</v>
      </c>
      <c r="P1015" s="3" t="s">
        <v>6326</v>
      </c>
      <c r="Q1015" s="4" t="s">
        <v>6297</v>
      </c>
    </row>
    <row r="1016" spans="1:17" ht="112" customHeight="1">
      <c r="A1016" s="31">
        <v>277</v>
      </c>
      <c r="B1016" s="40" t="s">
        <v>6294</v>
      </c>
      <c r="C1016" s="3" t="s">
        <v>6342</v>
      </c>
      <c r="D1016" s="3" t="s">
        <v>2398</v>
      </c>
      <c r="E1016" s="3" t="s">
        <v>2422</v>
      </c>
      <c r="F1016" s="3" t="s">
        <v>6299</v>
      </c>
      <c r="G1016" s="3" t="s">
        <v>6296</v>
      </c>
      <c r="H1016" s="3" t="s">
        <v>114</v>
      </c>
      <c r="I1016" s="201">
        <v>32.910459000000003</v>
      </c>
      <c r="J1016" s="201">
        <v>119.85254</v>
      </c>
      <c r="K1016" s="75" t="s">
        <v>2276</v>
      </c>
      <c r="L1016" s="3">
        <v>2016</v>
      </c>
      <c r="M1016" s="3">
        <v>2016</v>
      </c>
      <c r="N1016" s="75" t="s">
        <v>2276</v>
      </c>
      <c r="O1016" s="3" t="s">
        <v>67</v>
      </c>
      <c r="P1016" s="3" t="s">
        <v>6326</v>
      </c>
      <c r="Q1016" s="4" t="s">
        <v>6300</v>
      </c>
    </row>
    <row r="1017" spans="1:17" ht="87">
      <c r="A1017" s="31">
        <v>277</v>
      </c>
      <c r="B1017" s="40" t="s">
        <v>6294</v>
      </c>
      <c r="C1017" s="3" t="s">
        <v>6343</v>
      </c>
      <c r="D1017" s="3" t="s">
        <v>2398</v>
      </c>
      <c r="E1017" s="3" t="s">
        <v>2422</v>
      </c>
      <c r="F1017" s="3" t="s">
        <v>6301</v>
      </c>
      <c r="G1017" s="3" t="s">
        <v>6296</v>
      </c>
      <c r="H1017" s="3" t="s">
        <v>114</v>
      </c>
      <c r="I1017" s="201">
        <v>33.238593999999999</v>
      </c>
      <c r="J1017" s="201">
        <v>119.353319</v>
      </c>
      <c r="K1017" s="75" t="s">
        <v>2276</v>
      </c>
      <c r="L1017" s="3">
        <v>2016</v>
      </c>
      <c r="M1017" s="3">
        <v>2016</v>
      </c>
      <c r="N1017" s="75" t="s">
        <v>2276</v>
      </c>
      <c r="O1017" s="3" t="s">
        <v>67</v>
      </c>
      <c r="P1017" s="3" t="s">
        <v>6326</v>
      </c>
      <c r="Q1017" s="4" t="s">
        <v>6300</v>
      </c>
    </row>
    <row r="1018" spans="1:17" ht="87">
      <c r="A1018" s="31">
        <v>277</v>
      </c>
      <c r="B1018" s="40" t="s">
        <v>6294</v>
      </c>
      <c r="C1018" s="3" t="s">
        <v>6344</v>
      </c>
      <c r="D1018" s="3" t="s">
        <v>2398</v>
      </c>
      <c r="E1018" s="3" t="s">
        <v>2422</v>
      </c>
      <c r="F1018" s="3" t="s">
        <v>6302</v>
      </c>
      <c r="G1018" s="3" t="s">
        <v>6296</v>
      </c>
      <c r="H1018" s="3" t="s">
        <v>114</v>
      </c>
      <c r="I1018" s="201">
        <v>34.369579999999999</v>
      </c>
      <c r="J1018" s="201">
        <v>118.35453699999999</v>
      </c>
      <c r="K1018" s="75" t="s">
        <v>2276</v>
      </c>
      <c r="L1018" s="3">
        <v>2016</v>
      </c>
      <c r="M1018" s="3">
        <v>2016</v>
      </c>
      <c r="N1018" s="75" t="s">
        <v>2276</v>
      </c>
      <c r="O1018" s="3" t="s">
        <v>67</v>
      </c>
      <c r="P1018" s="3" t="s">
        <v>6326</v>
      </c>
      <c r="Q1018" s="4" t="s">
        <v>6303</v>
      </c>
    </row>
    <row r="1019" spans="1:17" ht="117" customHeight="1">
      <c r="A1019" s="31">
        <v>277</v>
      </c>
      <c r="B1019" s="40" t="s">
        <v>6294</v>
      </c>
      <c r="C1019" s="3" t="s">
        <v>6345</v>
      </c>
      <c r="D1019" s="3" t="s">
        <v>2398</v>
      </c>
      <c r="E1019" s="3" t="s">
        <v>2422</v>
      </c>
      <c r="F1019" s="3" t="s">
        <v>6304</v>
      </c>
      <c r="G1019" s="3" t="s">
        <v>6296</v>
      </c>
      <c r="H1019" s="3" t="s">
        <v>114</v>
      </c>
      <c r="I1019" s="201">
        <v>34.190972000000002</v>
      </c>
      <c r="J1019" s="201">
        <v>119.58672900000001</v>
      </c>
      <c r="K1019" s="75" t="s">
        <v>2276</v>
      </c>
      <c r="L1019" s="3">
        <v>2016</v>
      </c>
      <c r="M1019" s="3">
        <v>2016</v>
      </c>
      <c r="N1019" s="75" t="s">
        <v>2276</v>
      </c>
      <c r="O1019" s="3" t="s">
        <v>67</v>
      </c>
      <c r="P1019" s="3" t="s">
        <v>6326</v>
      </c>
      <c r="Q1019" s="4" t="s">
        <v>6303</v>
      </c>
    </row>
    <row r="1020" spans="1:17" ht="57.5" customHeight="1">
      <c r="A1020" s="31">
        <v>278</v>
      </c>
      <c r="B1020" s="40" t="s">
        <v>6305</v>
      </c>
      <c r="C1020" s="3" t="s">
        <v>8400</v>
      </c>
      <c r="D1020" s="3" t="s">
        <v>2398</v>
      </c>
      <c r="E1020" s="3" t="s">
        <v>2399</v>
      </c>
      <c r="F1020" s="3" t="s">
        <v>6306</v>
      </c>
      <c r="G1020" s="3" t="s">
        <v>87</v>
      </c>
      <c r="H1020" s="3" t="s">
        <v>6307</v>
      </c>
      <c r="I1020" s="201">
        <v>32.187691999999998</v>
      </c>
      <c r="J1020" s="201">
        <v>74.194452999999996</v>
      </c>
      <c r="K1020" s="75" t="s">
        <v>2276</v>
      </c>
      <c r="L1020" s="3">
        <v>2010</v>
      </c>
      <c r="M1020" s="3">
        <v>2010</v>
      </c>
      <c r="N1020" s="75" t="s">
        <v>2276</v>
      </c>
      <c r="O1020" s="3" t="s">
        <v>67</v>
      </c>
      <c r="P1020" s="3" t="s">
        <v>6326</v>
      </c>
      <c r="Q1020" s="4"/>
    </row>
    <row r="1021" spans="1:17" ht="88" customHeight="1">
      <c r="A1021" s="31">
        <v>278</v>
      </c>
      <c r="B1021" s="40" t="s">
        <v>6305</v>
      </c>
      <c r="C1021" s="3" t="s">
        <v>8401</v>
      </c>
      <c r="D1021" s="3" t="s">
        <v>2398</v>
      </c>
      <c r="E1021" s="3" t="s">
        <v>2399</v>
      </c>
      <c r="F1021" s="3" t="s">
        <v>6308</v>
      </c>
      <c r="G1021" s="3" t="s">
        <v>87</v>
      </c>
      <c r="H1021" s="3" t="s">
        <v>6307</v>
      </c>
      <c r="I1021" s="201">
        <v>32.494498999999998</v>
      </c>
      <c r="J1021" s="201">
        <v>74.522891999999999</v>
      </c>
      <c r="K1021" s="75" t="s">
        <v>2276</v>
      </c>
      <c r="L1021" s="3">
        <v>2010</v>
      </c>
      <c r="M1021" s="3">
        <v>2010</v>
      </c>
      <c r="N1021" s="75" t="s">
        <v>2276</v>
      </c>
      <c r="O1021" s="3" t="s">
        <v>67</v>
      </c>
      <c r="P1021" s="3" t="s">
        <v>6326</v>
      </c>
      <c r="Q1021" s="4"/>
    </row>
    <row r="1022" spans="1:17" ht="31" customHeight="1">
      <c r="A1022" s="31">
        <v>279</v>
      </c>
      <c r="B1022" s="40" t="s">
        <v>6309</v>
      </c>
      <c r="C1022" s="3" t="s">
        <v>6346</v>
      </c>
      <c r="D1022" s="3" t="s">
        <v>2398</v>
      </c>
      <c r="E1022" s="3" t="s">
        <v>2422</v>
      </c>
      <c r="F1022" s="3" t="s">
        <v>6310</v>
      </c>
      <c r="G1022" s="75" t="s">
        <v>2276</v>
      </c>
      <c r="H1022" s="3" t="s">
        <v>3490</v>
      </c>
      <c r="I1022" s="201">
        <v>-17.850000000000001</v>
      </c>
      <c r="J1022" s="201">
        <v>31.566666999999999</v>
      </c>
      <c r="K1022" s="75" t="s">
        <v>2276</v>
      </c>
      <c r="L1022" s="3">
        <v>2009</v>
      </c>
      <c r="M1022" s="3">
        <v>2010</v>
      </c>
      <c r="N1022" s="3">
        <v>104</v>
      </c>
      <c r="O1022" s="3" t="s">
        <v>67</v>
      </c>
      <c r="P1022" s="3" t="s">
        <v>6326</v>
      </c>
      <c r="Q1022" s="4"/>
    </row>
    <row r="1023" spans="1:17" ht="31" customHeight="1">
      <c r="A1023" s="31">
        <v>279</v>
      </c>
      <c r="B1023" s="40" t="s">
        <v>6309</v>
      </c>
      <c r="C1023" s="3" t="s">
        <v>6347</v>
      </c>
      <c r="D1023" s="3" t="s">
        <v>2398</v>
      </c>
      <c r="E1023" s="3" t="s">
        <v>2422</v>
      </c>
      <c r="F1023" s="3" t="s">
        <v>6311</v>
      </c>
      <c r="G1023" s="75" t="s">
        <v>2276</v>
      </c>
      <c r="H1023" s="3" t="s">
        <v>6354</v>
      </c>
      <c r="I1023" s="21">
        <v>-18.833333</v>
      </c>
      <c r="J1023" s="21">
        <v>33.183332999999998</v>
      </c>
      <c r="K1023" s="75" t="s">
        <v>2276</v>
      </c>
      <c r="L1023" s="3">
        <v>2009</v>
      </c>
      <c r="M1023" s="3">
        <v>2010</v>
      </c>
      <c r="N1023" s="3">
        <v>22</v>
      </c>
      <c r="O1023" s="3" t="s">
        <v>67</v>
      </c>
      <c r="P1023" s="3" t="s">
        <v>6326</v>
      </c>
      <c r="Q1023" s="4"/>
    </row>
    <row r="1024" spans="1:17" ht="31" customHeight="1">
      <c r="A1024" s="31">
        <v>279</v>
      </c>
      <c r="B1024" s="40" t="s">
        <v>6309</v>
      </c>
      <c r="C1024" s="3" t="s">
        <v>6348</v>
      </c>
      <c r="D1024" s="3" t="s">
        <v>2398</v>
      </c>
      <c r="E1024" s="3" t="s">
        <v>2422</v>
      </c>
      <c r="F1024" s="3" t="s">
        <v>6312</v>
      </c>
      <c r="G1024" s="75" t="s">
        <v>2276</v>
      </c>
      <c r="H1024" s="3" t="s">
        <v>6354</v>
      </c>
      <c r="I1024" s="21">
        <v>-18.766667000000002</v>
      </c>
      <c r="J1024" s="21">
        <v>34.333333000000003</v>
      </c>
      <c r="K1024" s="75" t="s">
        <v>2276</v>
      </c>
      <c r="L1024" s="3">
        <v>2009</v>
      </c>
      <c r="M1024" s="3">
        <v>2010</v>
      </c>
      <c r="N1024" s="3">
        <v>25</v>
      </c>
      <c r="O1024" s="3" t="s">
        <v>67</v>
      </c>
      <c r="P1024" s="3" t="s">
        <v>6326</v>
      </c>
      <c r="Q1024" s="4"/>
    </row>
    <row r="1025" spans="1:17" ht="32.5" customHeight="1">
      <c r="A1025" s="31">
        <v>280</v>
      </c>
      <c r="B1025" s="40" t="s">
        <v>6313</v>
      </c>
      <c r="C1025" s="3" t="s">
        <v>6349</v>
      </c>
      <c r="D1025" s="3" t="s">
        <v>2398</v>
      </c>
      <c r="E1025" s="3" t="s">
        <v>2399</v>
      </c>
      <c r="F1025" s="3" t="s">
        <v>6314</v>
      </c>
      <c r="G1025" s="3" t="s">
        <v>6315</v>
      </c>
      <c r="H1025" s="3" t="s">
        <v>779</v>
      </c>
      <c r="I1025" s="201">
        <v>20.26408</v>
      </c>
      <c r="J1025" s="201">
        <v>106.05813999999999</v>
      </c>
      <c r="K1025" s="75" t="s">
        <v>2276</v>
      </c>
      <c r="L1025" s="3">
        <v>2015</v>
      </c>
      <c r="M1025" s="3">
        <v>2015</v>
      </c>
      <c r="N1025" s="75" t="s">
        <v>2276</v>
      </c>
      <c r="O1025" s="3" t="s">
        <v>67</v>
      </c>
      <c r="P1025" s="3" t="s">
        <v>6326</v>
      </c>
      <c r="Q1025" s="4"/>
    </row>
    <row r="1026" spans="1:17" ht="32.5" customHeight="1">
      <c r="A1026" s="31">
        <v>280</v>
      </c>
      <c r="B1026" s="40" t="s">
        <v>6313</v>
      </c>
      <c r="C1026" s="3" t="s">
        <v>6350</v>
      </c>
      <c r="D1026" s="3" t="s">
        <v>2398</v>
      </c>
      <c r="E1026" s="3" t="s">
        <v>2399</v>
      </c>
      <c r="F1026" s="3" t="s">
        <v>6316</v>
      </c>
      <c r="G1026" s="3" t="s">
        <v>6317</v>
      </c>
      <c r="H1026" s="3" t="s">
        <v>779</v>
      </c>
      <c r="I1026" s="201">
        <v>21.342251000000001</v>
      </c>
      <c r="J1026" s="201">
        <v>106.014059</v>
      </c>
      <c r="K1026" s="75" t="s">
        <v>2276</v>
      </c>
      <c r="L1026" s="3">
        <v>2015</v>
      </c>
      <c r="M1026" s="3">
        <v>2015</v>
      </c>
      <c r="N1026" s="75" t="s">
        <v>2276</v>
      </c>
      <c r="O1026" s="3" t="s">
        <v>67</v>
      </c>
      <c r="P1026" s="3" t="s">
        <v>6326</v>
      </c>
      <c r="Q1026" s="4"/>
    </row>
    <row r="1027" spans="1:17" ht="32.5" customHeight="1">
      <c r="A1027" s="31">
        <v>280</v>
      </c>
      <c r="B1027" s="40" t="s">
        <v>6313</v>
      </c>
      <c r="C1027" s="3" t="s">
        <v>6351</v>
      </c>
      <c r="D1027" s="3" t="s">
        <v>2398</v>
      </c>
      <c r="E1027" s="3" t="s">
        <v>2399</v>
      </c>
      <c r="F1027" s="3" t="s">
        <v>6318</v>
      </c>
      <c r="G1027" s="3" t="s">
        <v>6319</v>
      </c>
      <c r="H1027" s="3" t="s">
        <v>779</v>
      </c>
      <c r="I1027" s="201">
        <v>21.868908999999999</v>
      </c>
      <c r="J1027" s="201">
        <v>104.18146900000001</v>
      </c>
      <c r="K1027" s="75" t="s">
        <v>2276</v>
      </c>
      <c r="L1027" s="3">
        <v>2015</v>
      </c>
      <c r="M1027" s="3">
        <v>2015</v>
      </c>
      <c r="N1027" s="75" t="s">
        <v>2276</v>
      </c>
      <c r="O1027" s="3" t="s">
        <v>67</v>
      </c>
      <c r="P1027" s="3" t="s">
        <v>6326</v>
      </c>
      <c r="Q1027" s="4"/>
    </row>
    <row r="1028" spans="1:17" ht="45.5" customHeight="1">
      <c r="A1028" s="96">
        <v>281</v>
      </c>
      <c r="B1028" s="230"/>
      <c r="C1028" s="44"/>
      <c r="D1028" s="44"/>
      <c r="E1028" s="44"/>
      <c r="F1028" s="44"/>
      <c r="G1028" s="44"/>
      <c r="H1028" s="44"/>
      <c r="I1028" s="231"/>
      <c r="J1028" s="231"/>
      <c r="K1028" s="227"/>
      <c r="L1028" s="44"/>
      <c r="M1028" s="44"/>
      <c r="N1028" s="228"/>
      <c r="O1028" s="44"/>
      <c r="P1028" s="44"/>
      <c r="Q1028" s="58"/>
    </row>
    <row r="1029" spans="1:17" ht="32.5" customHeight="1">
      <c r="A1029" s="31">
        <v>282</v>
      </c>
      <c r="B1029" s="40" t="s">
        <v>6320</v>
      </c>
      <c r="C1029" s="3" t="s">
        <v>6352</v>
      </c>
      <c r="D1029" s="3" t="s">
        <v>2398</v>
      </c>
      <c r="E1029" s="3" t="s">
        <v>2399</v>
      </c>
      <c r="F1029" s="3" t="s">
        <v>6321</v>
      </c>
      <c r="G1029" s="3" t="s">
        <v>6322</v>
      </c>
      <c r="H1029" s="3" t="s">
        <v>895</v>
      </c>
      <c r="I1029" s="201">
        <v>-8.7302070000000001</v>
      </c>
      <c r="J1029" s="201">
        <v>115.545165</v>
      </c>
      <c r="K1029" s="75" t="s">
        <v>2276</v>
      </c>
      <c r="L1029" s="3">
        <v>2017</v>
      </c>
      <c r="M1029" s="3">
        <v>2017</v>
      </c>
      <c r="N1029" s="75" t="s">
        <v>2276</v>
      </c>
      <c r="O1029" s="3" t="s">
        <v>67</v>
      </c>
      <c r="P1029" s="3" t="s">
        <v>6326</v>
      </c>
      <c r="Q1029" s="4"/>
    </row>
    <row r="1030" spans="1:17" ht="32.5" customHeight="1">
      <c r="A1030" s="31">
        <v>283</v>
      </c>
      <c r="B1030" s="40" t="s">
        <v>6323</v>
      </c>
      <c r="C1030" s="3" t="s">
        <v>6353</v>
      </c>
      <c r="D1030" s="3" t="s">
        <v>2398</v>
      </c>
      <c r="E1030" s="3" t="s">
        <v>2422</v>
      </c>
      <c r="F1030" s="75" t="s">
        <v>2276</v>
      </c>
      <c r="G1030" s="3" t="s">
        <v>6324</v>
      </c>
      <c r="H1030" s="3" t="s">
        <v>6325</v>
      </c>
      <c r="I1030" s="201">
        <v>51.79363</v>
      </c>
      <c r="J1030" s="201">
        <v>82.67586</v>
      </c>
      <c r="K1030" s="21">
        <v>86000</v>
      </c>
      <c r="L1030" s="3">
        <v>2013</v>
      </c>
      <c r="M1030" s="3">
        <v>2014</v>
      </c>
      <c r="N1030" s="75" t="s">
        <v>2276</v>
      </c>
      <c r="O1030" s="3" t="s">
        <v>67</v>
      </c>
      <c r="P1030" s="3" t="s">
        <v>6326</v>
      </c>
      <c r="Q1030" s="4"/>
    </row>
    <row r="1031" spans="1:17" ht="43" customHeight="1">
      <c r="A1031" s="188">
        <v>284</v>
      </c>
      <c r="B1031" s="206" t="s">
        <v>6369</v>
      </c>
      <c r="C1031" s="26" t="s">
        <v>6402</v>
      </c>
      <c r="D1031" s="26" t="s">
        <v>2633</v>
      </c>
      <c r="E1031" s="26" t="s">
        <v>2636</v>
      </c>
      <c r="F1031" s="26" t="s">
        <v>6370</v>
      </c>
      <c r="G1031" s="75" t="s">
        <v>2276</v>
      </c>
      <c r="H1031" s="26" t="s">
        <v>3414</v>
      </c>
      <c r="I1031" s="26">
        <v>-33.200000000000003</v>
      </c>
      <c r="J1031" s="26">
        <v>117.4</v>
      </c>
      <c r="K1031" s="26">
        <v>25000</v>
      </c>
      <c r="L1031" s="26">
        <v>1962</v>
      </c>
      <c r="M1031" s="26">
        <v>1990</v>
      </c>
      <c r="N1031" s="75" t="s">
        <v>2276</v>
      </c>
      <c r="O1031" s="26" t="s">
        <v>67</v>
      </c>
      <c r="P1031" s="19" t="s">
        <v>6401</v>
      </c>
      <c r="Q1031" s="26" t="s">
        <v>7861</v>
      </c>
    </row>
    <row r="1032" spans="1:17" ht="42" customHeight="1">
      <c r="A1032" s="188">
        <v>284</v>
      </c>
      <c r="B1032" s="207" t="s">
        <v>6369</v>
      </c>
      <c r="C1032" s="26" t="s">
        <v>6403</v>
      </c>
      <c r="D1032" s="26" t="s">
        <v>2633</v>
      </c>
      <c r="E1032" s="26" t="s">
        <v>2636</v>
      </c>
      <c r="F1032" s="26" t="s">
        <v>6370</v>
      </c>
      <c r="G1032" s="75" t="s">
        <v>2276</v>
      </c>
      <c r="H1032" s="26" t="s">
        <v>3414</v>
      </c>
      <c r="I1032" s="26">
        <v>-33.200000000000003</v>
      </c>
      <c r="J1032" s="26">
        <v>117.4</v>
      </c>
      <c r="K1032" s="26">
        <v>25000</v>
      </c>
      <c r="L1032" s="26">
        <v>1991</v>
      </c>
      <c r="M1032" s="26">
        <v>2012</v>
      </c>
      <c r="N1032" s="75" t="s">
        <v>2276</v>
      </c>
      <c r="O1032" s="26" t="s">
        <v>67</v>
      </c>
      <c r="P1032" s="19" t="s">
        <v>6401</v>
      </c>
      <c r="Q1032" s="26" t="s">
        <v>7861</v>
      </c>
    </row>
    <row r="1033" spans="1:17" ht="87">
      <c r="A1033" s="188">
        <v>285</v>
      </c>
      <c r="B1033" s="207" t="s">
        <v>6371</v>
      </c>
      <c r="C1033" s="26" t="s">
        <v>6404</v>
      </c>
      <c r="D1033" s="26" t="s">
        <v>2398</v>
      </c>
      <c r="E1033" s="26" t="s">
        <v>4847</v>
      </c>
      <c r="F1033" s="26" t="s">
        <v>6372</v>
      </c>
      <c r="G1033" s="26" t="s">
        <v>5781</v>
      </c>
      <c r="H1033" s="26" t="s">
        <v>4112</v>
      </c>
      <c r="I1033" s="26">
        <v>64.83</v>
      </c>
      <c r="J1033" s="26">
        <v>-147.72</v>
      </c>
      <c r="K1033" s="26">
        <v>79</v>
      </c>
      <c r="L1033" s="26">
        <v>1988</v>
      </c>
      <c r="M1033" s="26">
        <v>2016</v>
      </c>
      <c r="N1033" s="208">
        <v>379.74683544303798</v>
      </c>
      <c r="O1033" s="26" t="s">
        <v>67</v>
      </c>
      <c r="P1033" s="19" t="s">
        <v>6401</v>
      </c>
      <c r="Q1033" s="26" t="s">
        <v>6373</v>
      </c>
    </row>
    <row r="1034" spans="1:17" ht="130.5">
      <c r="A1034" s="188">
        <v>285</v>
      </c>
      <c r="B1034" s="207" t="s">
        <v>6371</v>
      </c>
      <c r="C1034" s="26" t="s">
        <v>6405</v>
      </c>
      <c r="D1034" s="26" t="s">
        <v>2398</v>
      </c>
      <c r="E1034" s="26" t="s">
        <v>4847</v>
      </c>
      <c r="F1034" s="75" t="s">
        <v>2276</v>
      </c>
      <c r="G1034" s="26" t="s">
        <v>5781</v>
      </c>
      <c r="H1034" s="26" t="s">
        <v>4112</v>
      </c>
      <c r="I1034" s="26">
        <v>65.5</v>
      </c>
      <c r="J1034" s="26">
        <v>-149.30000000000001</v>
      </c>
      <c r="K1034" s="26">
        <v>455000</v>
      </c>
      <c r="L1034" s="26">
        <v>1988</v>
      </c>
      <c r="M1034" s="26">
        <v>2016</v>
      </c>
      <c r="N1034" s="208">
        <v>0.25934065934065897</v>
      </c>
      <c r="O1034" s="4" t="s">
        <v>67</v>
      </c>
      <c r="P1034" s="19" t="s">
        <v>6401</v>
      </c>
      <c r="Q1034" s="26" t="s">
        <v>6374</v>
      </c>
    </row>
    <row r="1035" spans="1:17" ht="30" customHeight="1">
      <c r="A1035" s="193">
        <v>286</v>
      </c>
      <c r="B1035" s="207" t="s">
        <v>6375</v>
      </c>
      <c r="C1035" s="4" t="s">
        <v>6406</v>
      </c>
      <c r="D1035" s="4" t="s">
        <v>2416</v>
      </c>
      <c r="E1035" s="4" t="s">
        <v>2636</v>
      </c>
      <c r="F1035" s="4" t="s">
        <v>4032</v>
      </c>
      <c r="G1035" s="75" t="s">
        <v>2276</v>
      </c>
      <c r="H1035" s="4" t="s">
        <v>4032</v>
      </c>
      <c r="I1035" s="58"/>
      <c r="J1035" s="58"/>
      <c r="K1035" s="58"/>
      <c r="L1035" s="4">
        <v>2007</v>
      </c>
      <c r="M1035" s="4">
        <v>2007</v>
      </c>
      <c r="N1035" s="75" t="s">
        <v>2276</v>
      </c>
      <c r="O1035" s="4" t="s">
        <v>67</v>
      </c>
      <c r="P1035" s="19" t="s">
        <v>6401</v>
      </c>
      <c r="Q1035" s="4"/>
    </row>
    <row r="1036" spans="1:17" ht="30" customHeight="1">
      <c r="A1036" s="193">
        <v>286</v>
      </c>
      <c r="B1036" s="207" t="s">
        <v>6375</v>
      </c>
      <c r="C1036" s="4" t="s">
        <v>6407</v>
      </c>
      <c r="D1036" s="4" t="s">
        <v>2416</v>
      </c>
      <c r="E1036" s="4" t="s">
        <v>2636</v>
      </c>
      <c r="F1036" s="4" t="s">
        <v>4032</v>
      </c>
      <c r="G1036" s="75" t="s">
        <v>2276</v>
      </c>
      <c r="H1036" s="4" t="s">
        <v>4032</v>
      </c>
      <c r="I1036" s="58"/>
      <c r="J1036" s="58"/>
      <c r="K1036" s="58"/>
      <c r="L1036" s="4">
        <v>2007</v>
      </c>
      <c r="M1036" s="4">
        <v>2007</v>
      </c>
      <c r="N1036" s="75" t="s">
        <v>2276</v>
      </c>
      <c r="O1036" s="4" t="s">
        <v>67</v>
      </c>
      <c r="P1036" s="19" t="s">
        <v>6401</v>
      </c>
      <c r="Q1036" s="4"/>
    </row>
    <row r="1037" spans="1:17" ht="30" customHeight="1">
      <c r="A1037" s="193">
        <v>286</v>
      </c>
      <c r="B1037" s="207" t="s">
        <v>6375</v>
      </c>
      <c r="C1037" s="4" t="s">
        <v>6408</v>
      </c>
      <c r="D1037" s="4" t="s">
        <v>2416</v>
      </c>
      <c r="E1037" s="4" t="s">
        <v>2636</v>
      </c>
      <c r="F1037" s="4" t="s">
        <v>4032</v>
      </c>
      <c r="G1037" s="75" t="s">
        <v>2276</v>
      </c>
      <c r="H1037" s="4" t="s">
        <v>4032</v>
      </c>
      <c r="I1037" s="58"/>
      <c r="J1037" s="58"/>
      <c r="K1037" s="58"/>
      <c r="L1037" s="4">
        <v>2007</v>
      </c>
      <c r="M1037" s="4">
        <v>2007</v>
      </c>
      <c r="N1037" s="75" t="s">
        <v>2276</v>
      </c>
      <c r="O1037" s="4" t="s">
        <v>67</v>
      </c>
      <c r="P1037" s="19" t="s">
        <v>6401</v>
      </c>
      <c r="Q1037" s="4"/>
    </row>
    <row r="1038" spans="1:17" ht="30" customHeight="1">
      <c r="A1038" s="193">
        <v>287</v>
      </c>
      <c r="B1038" s="41" t="s">
        <v>6376</v>
      </c>
      <c r="C1038" s="4" t="s">
        <v>6409</v>
      </c>
      <c r="D1038" s="4" t="s">
        <v>2398</v>
      </c>
      <c r="E1038" s="26" t="s">
        <v>4847</v>
      </c>
      <c r="F1038" s="4" t="s">
        <v>6377</v>
      </c>
      <c r="G1038" s="4" t="s">
        <v>4132</v>
      </c>
      <c r="H1038" s="4" t="s">
        <v>4112</v>
      </c>
      <c r="I1038" s="75">
        <v>34.4</v>
      </c>
      <c r="J1038" s="75">
        <v>-118.3</v>
      </c>
      <c r="K1038" s="209">
        <v>264</v>
      </c>
      <c r="L1038" s="4">
        <v>1980</v>
      </c>
      <c r="M1038" s="4">
        <v>2007</v>
      </c>
      <c r="N1038" s="75" t="s">
        <v>2276</v>
      </c>
      <c r="O1038" s="4" t="s">
        <v>67</v>
      </c>
      <c r="P1038" s="19" t="s">
        <v>6401</v>
      </c>
      <c r="Q1038" s="4"/>
    </row>
    <row r="1039" spans="1:17" ht="30" customHeight="1">
      <c r="A1039" s="193">
        <v>287</v>
      </c>
      <c r="B1039" s="207" t="s">
        <v>6376</v>
      </c>
      <c r="C1039" s="4" t="s">
        <v>6410</v>
      </c>
      <c r="D1039" s="4" t="s">
        <v>2398</v>
      </c>
      <c r="E1039" s="26" t="s">
        <v>4847</v>
      </c>
      <c r="F1039" s="4" t="s">
        <v>6378</v>
      </c>
      <c r="G1039" s="4" t="s">
        <v>4132</v>
      </c>
      <c r="H1039" s="4" t="s">
        <v>4112</v>
      </c>
      <c r="I1039" s="75">
        <v>34.799999999999997</v>
      </c>
      <c r="J1039" s="75">
        <v>-119.6</v>
      </c>
      <c r="K1039" s="209">
        <v>615</v>
      </c>
      <c r="L1039" s="4">
        <v>1980</v>
      </c>
      <c r="M1039" s="4">
        <v>2007</v>
      </c>
      <c r="N1039" s="75" t="s">
        <v>2276</v>
      </c>
      <c r="O1039" s="4" t="s">
        <v>67</v>
      </c>
      <c r="P1039" s="19" t="s">
        <v>6401</v>
      </c>
      <c r="Q1039" s="4"/>
    </row>
    <row r="1040" spans="1:17" ht="30" customHeight="1">
      <c r="A1040" s="193">
        <v>287</v>
      </c>
      <c r="B1040" s="207" t="s">
        <v>6376</v>
      </c>
      <c r="C1040" s="4" t="s">
        <v>6411</v>
      </c>
      <c r="D1040" s="4" t="s">
        <v>2398</v>
      </c>
      <c r="E1040" s="26" t="s">
        <v>4847</v>
      </c>
      <c r="F1040" s="4" t="s">
        <v>6379</v>
      </c>
      <c r="G1040" s="4" t="s">
        <v>4132</v>
      </c>
      <c r="H1040" s="4" t="s">
        <v>4112</v>
      </c>
      <c r="I1040" s="75">
        <v>33.69</v>
      </c>
      <c r="J1040" s="75">
        <v>-116.6</v>
      </c>
      <c r="K1040" s="209">
        <v>305</v>
      </c>
      <c r="L1040" s="4">
        <v>1980</v>
      </c>
      <c r="M1040" s="4">
        <v>2007</v>
      </c>
      <c r="N1040" s="75" t="s">
        <v>2276</v>
      </c>
      <c r="O1040" s="4" t="s">
        <v>67</v>
      </c>
      <c r="P1040" s="19" t="s">
        <v>6401</v>
      </c>
      <c r="Q1040" s="4"/>
    </row>
    <row r="1041" spans="1:17" ht="30" customHeight="1">
      <c r="A1041" s="193">
        <v>287</v>
      </c>
      <c r="B1041" s="207" t="s">
        <v>6376</v>
      </c>
      <c r="C1041" s="4" t="s">
        <v>6412</v>
      </c>
      <c r="D1041" s="4" t="s">
        <v>2398</v>
      </c>
      <c r="E1041" s="26" t="s">
        <v>4847</v>
      </c>
      <c r="F1041" s="4" t="s">
        <v>6380</v>
      </c>
      <c r="G1041" s="4" t="s">
        <v>4132</v>
      </c>
      <c r="H1041" s="4" t="s">
        <v>4112</v>
      </c>
      <c r="I1041" s="75">
        <v>32.9</v>
      </c>
      <c r="J1041" s="75">
        <v>-116.5</v>
      </c>
      <c r="K1041" s="209">
        <v>211</v>
      </c>
      <c r="L1041" s="4">
        <v>1980</v>
      </c>
      <c r="M1041" s="4">
        <v>2007</v>
      </c>
      <c r="N1041" s="75" t="s">
        <v>2276</v>
      </c>
      <c r="O1041" s="4" t="s">
        <v>67</v>
      </c>
      <c r="P1041" s="19" t="s">
        <v>6401</v>
      </c>
      <c r="Q1041" s="4"/>
    </row>
    <row r="1042" spans="1:17" ht="72.5">
      <c r="A1042" s="193">
        <v>288</v>
      </c>
      <c r="B1042" s="206" t="s">
        <v>6381</v>
      </c>
      <c r="C1042" s="4" t="s">
        <v>6413</v>
      </c>
      <c r="D1042" s="4" t="s">
        <v>2398</v>
      </c>
      <c r="E1042" s="4" t="s">
        <v>2636</v>
      </c>
      <c r="F1042" s="4" t="s">
        <v>6382</v>
      </c>
      <c r="G1042" s="4" t="s">
        <v>6383</v>
      </c>
      <c r="H1042" s="4" t="s">
        <v>4112</v>
      </c>
      <c r="I1042" s="75">
        <v>43.2</v>
      </c>
      <c r="J1042" s="75">
        <v>-121.6</v>
      </c>
      <c r="K1042" s="209">
        <v>15578</v>
      </c>
      <c r="L1042" s="4">
        <v>1905</v>
      </c>
      <c r="M1042" s="4">
        <v>1924</v>
      </c>
      <c r="N1042" s="75" t="s">
        <v>2276</v>
      </c>
      <c r="O1042" s="4" t="s">
        <v>67</v>
      </c>
      <c r="P1042" s="19" t="s">
        <v>6401</v>
      </c>
      <c r="Q1042" s="4" t="s">
        <v>6384</v>
      </c>
    </row>
    <row r="1043" spans="1:17" ht="72.5">
      <c r="A1043" s="193">
        <v>288</v>
      </c>
      <c r="B1043" s="206" t="s">
        <v>6381</v>
      </c>
      <c r="C1043" s="4" t="s">
        <v>6414</v>
      </c>
      <c r="D1043" s="4" t="s">
        <v>2398</v>
      </c>
      <c r="E1043" s="4" t="s">
        <v>2636</v>
      </c>
      <c r="F1043" s="4" t="s">
        <v>6382</v>
      </c>
      <c r="G1043" s="4" t="s">
        <v>6383</v>
      </c>
      <c r="H1043" s="4" t="s">
        <v>4112</v>
      </c>
      <c r="I1043" s="75">
        <v>43.2</v>
      </c>
      <c r="J1043" s="75">
        <v>-121.6</v>
      </c>
      <c r="K1043" s="209">
        <v>15578</v>
      </c>
      <c r="L1043" s="4">
        <v>1925</v>
      </c>
      <c r="M1043" s="4">
        <v>1975</v>
      </c>
      <c r="N1043" s="75" t="s">
        <v>2276</v>
      </c>
      <c r="O1043" s="4" t="s">
        <v>67</v>
      </c>
      <c r="P1043" s="19" t="s">
        <v>6401</v>
      </c>
      <c r="Q1043" s="4" t="s">
        <v>6384</v>
      </c>
    </row>
    <row r="1044" spans="1:17" ht="72.5">
      <c r="A1044" s="193">
        <v>288</v>
      </c>
      <c r="B1044" s="206" t="s">
        <v>6381</v>
      </c>
      <c r="C1044" s="4" t="s">
        <v>6415</v>
      </c>
      <c r="D1044" s="4" t="s">
        <v>2398</v>
      </c>
      <c r="E1044" s="4" t="s">
        <v>2636</v>
      </c>
      <c r="F1044" s="4" t="s">
        <v>6382</v>
      </c>
      <c r="G1044" s="4" t="s">
        <v>6383</v>
      </c>
      <c r="H1044" s="4" t="s">
        <v>4112</v>
      </c>
      <c r="I1044" s="75">
        <v>43.2</v>
      </c>
      <c r="J1044" s="75">
        <v>-121.6</v>
      </c>
      <c r="K1044" s="209">
        <v>15578</v>
      </c>
      <c r="L1044" s="4">
        <v>1976</v>
      </c>
      <c r="M1044" s="4">
        <v>1995</v>
      </c>
      <c r="N1044" s="75" t="s">
        <v>2276</v>
      </c>
      <c r="O1044" s="4" t="s">
        <v>67</v>
      </c>
      <c r="P1044" s="19" t="s">
        <v>6401</v>
      </c>
      <c r="Q1044" s="4" t="s">
        <v>6384</v>
      </c>
    </row>
    <row r="1045" spans="1:17" ht="73.5" customHeight="1">
      <c r="A1045" s="193">
        <v>288</v>
      </c>
      <c r="B1045" s="206" t="s">
        <v>6381</v>
      </c>
      <c r="C1045" s="4" t="s">
        <v>6416</v>
      </c>
      <c r="D1045" s="4" t="s">
        <v>2398</v>
      </c>
      <c r="E1045" s="4" t="s">
        <v>2636</v>
      </c>
      <c r="F1045" s="4" t="s">
        <v>6382</v>
      </c>
      <c r="G1045" s="4" t="s">
        <v>6383</v>
      </c>
      <c r="H1045" s="4" t="s">
        <v>4112</v>
      </c>
      <c r="I1045" s="75">
        <v>43.2</v>
      </c>
      <c r="J1045" s="75">
        <v>-121.6</v>
      </c>
      <c r="K1045" s="209">
        <v>15578</v>
      </c>
      <c r="L1045" s="4">
        <v>1995</v>
      </c>
      <c r="M1045" s="4">
        <v>2010</v>
      </c>
      <c r="N1045" s="75" t="s">
        <v>2276</v>
      </c>
      <c r="O1045" s="4" t="s">
        <v>67</v>
      </c>
      <c r="P1045" s="19" t="s">
        <v>6401</v>
      </c>
      <c r="Q1045" s="4" t="s">
        <v>6384</v>
      </c>
    </row>
    <row r="1046" spans="1:17" ht="73.5" customHeight="1">
      <c r="A1046" s="193">
        <v>288</v>
      </c>
      <c r="B1046" s="206" t="s">
        <v>6381</v>
      </c>
      <c r="C1046" s="4" t="s">
        <v>6417</v>
      </c>
      <c r="D1046" s="4" t="s">
        <v>2398</v>
      </c>
      <c r="E1046" s="4" t="s">
        <v>2636</v>
      </c>
      <c r="F1046" s="4" t="s">
        <v>6382</v>
      </c>
      <c r="G1046" s="4" t="s">
        <v>6383</v>
      </c>
      <c r="H1046" s="4" t="s">
        <v>4112</v>
      </c>
      <c r="I1046" s="75">
        <v>42.8</v>
      </c>
      <c r="J1046" s="75">
        <v>-121.3</v>
      </c>
      <c r="K1046" s="75" t="s">
        <v>2276</v>
      </c>
      <c r="L1046" s="4">
        <v>1911</v>
      </c>
      <c r="M1046" s="4">
        <v>1924</v>
      </c>
      <c r="N1046" s="75" t="s">
        <v>2276</v>
      </c>
      <c r="O1046" s="4" t="s">
        <v>67</v>
      </c>
      <c r="P1046" s="19" t="s">
        <v>6401</v>
      </c>
      <c r="Q1046" s="4"/>
    </row>
    <row r="1047" spans="1:17" ht="73.5" customHeight="1">
      <c r="A1047" s="193">
        <v>288</v>
      </c>
      <c r="B1047" s="206" t="s">
        <v>6381</v>
      </c>
      <c r="C1047" s="4" t="s">
        <v>6418</v>
      </c>
      <c r="D1047" s="4" t="s">
        <v>2398</v>
      </c>
      <c r="E1047" s="4" t="s">
        <v>2636</v>
      </c>
      <c r="F1047" s="4" t="s">
        <v>6382</v>
      </c>
      <c r="G1047" s="4" t="s">
        <v>6383</v>
      </c>
      <c r="H1047" s="4" t="s">
        <v>4112</v>
      </c>
      <c r="I1047" s="75">
        <v>42.8</v>
      </c>
      <c r="J1047" s="75">
        <v>-121.3</v>
      </c>
      <c r="K1047" s="75" t="s">
        <v>2276</v>
      </c>
      <c r="L1047" s="4">
        <v>1925</v>
      </c>
      <c r="M1047" s="4">
        <v>1997</v>
      </c>
      <c r="N1047" s="75" t="s">
        <v>2276</v>
      </c>
      <c r="O1047" s="4" t="s">
        <v>67</v>
      </c>
      <c r="P1047" s="19" t="s">
        <v>6401</v>
      </c>
      <c r="Q1047" s="4"/>
    </row>
    <row r="1048" spans="1:17" ht="73.5" customHeight="1">
      <c r="A1048" s="193">
        <v>288</v>
      </c>
      <c r="B1048" s="206" t="s">
        <v>6381</v>
      </c>
      <c r="C1048" s="4" t="s">
        <v>6567</v>
      </c>
      <c r="D1048" s="4" t="s">
        <v>2398</v>
      </c>
      <c r="E1048" s="4" t="s">
        <v>2636</v>
      </c>
      <c r="F1048" s="4" t="s">
        <v>6382</v>
      </c>
      <c r="G1048" s="4" t="s">
        <v>6383</v>
      </c>
      <c r="H1048" s="4" t="s">
        <v>4112</v>
      </c>
      <c r="I1048" s="75">
        <v>42.8</v>
      </c>
      <c r="J1048" s="75">
        <v>-121.3</v>
      </c>
      <c r="K1048" s="75" t="s">
        <v>2276</v>
      </c>
      <c r="L1048" s="4">
        <v>1998</v>
      </c>
      <c r="M1048" s="4">
        <v>2010</v>
      </c>
      <c r="N1048" s="75" t="s">
        <v>2276</v>
      </c>
      <c r="O1048" s="4" t="s">
        <v>67</v>
      </c>
      <c r="P1048" s="19" t="s">
        <v>6401</v>
      </c>
      <c r="Q1048" s="4"/>
    </row>
    <row r="1049" spans="1:17" ht="43.5">
      <c r="A1049" s="193">
        <v>288</v>
      </c>
      <c r="B1049" s="206" t="s">
        <v>6381</v>
      </c>
      <c r="C1049" s="4" t="s">
        <v>6420</v>
      </c>
      <c r="D1049" s="4" t="s">
        <v>2398</v>
      </c>
      <c r="E1049" s="4" t="s">
        <v>2636</v>
      </c>
      <c r="F1049" s="4" t="s">
        <v>6385</v>
      </c>
      <c r="G1049" s="4" t="s">
        <v>6383</v>
      </c>
      <c r="H1049" s="4" t="s">
        <v>4112</v>
      </c>
      <c r="I1049" s="75">
        <v>44.8</v>
      </c>
      <c r="J1049" s="75">
        <v>-121.4</v>
      </c>
      <c r="K1049" s="209">
        <v>2640</v>
      </c>
      <c r="L1049" s="4">
        <v>1910</v>
      </c>
      <c r="M1049" s="4">
        <v>1924</v>
      </c>
      <c r="N1049" s="75" t="s">
        <v>2276</v>
      </c>
      <c r="O1049" s="4" t="s">
        <v>67</v>
      </c>
      <c r="P1049" s="19" t="s">
        <v>6401</v>
      </c>
      <c r="Q1049" s="4" t="s">
        <v>6386</v>
      </c>
    </row>
    <row r="1050" spans="1:17" ht="43.5">
      <c r="A1050" s="193">
        <v>288</v>
      </c>
      <c r="B1050" s="206" t="s">
        <v>6381</v>
      </c>
      <c r="C1050" s="4" t="s">
        <v>6421</v>
      </c>
      <c r="D1050" s="4" t="s">
        <v>2398</v>
      </c>
      <c r="E1050" s="4" t="s">
        <v>2636</v>
      </c>
      <c r="F1050" s="4" t="s">
        <v>6385</v>
      </c>
      <c r="G1050" s="4" t="s">
        <v>6383</v>
      </c>
      <c r="H1050" s="4" t="s">
        <v>4112</v>
      </c>
      <c r="I1050" s="75">
        <v>44.8</v>
      </c>
      <c r="J1050" s="75">
        <v>-121.4</v>
      </c>
      <c r="K1050" s="209">
        <v>2640</v>
      </c>
      <c r="L1050" s="4">
        <v>1925</v>
      </c>
      <c r="M1050" s="4">
        <v>1975</v>
      </c>
      <c r="N1050" s="75" t="s">
        <v>2276</v>
      </c>
      <c r="O1050" s="4" t="s">
        <v>67</v>
      </c>
      <c r="P1050" s="19" t="s">
        <v>6401</v>
      </c>
      <c r="Q1050" s="4" t="s">
        <v>6386</v>
      </c>
    </row>
    <row r="1051" spans="1:17" ht="43.5">
      <c r="A1051" s="193">
        <v>288</v>
      </c>
      <c r="B1051" s="206" t="s">
        <v>6381</v>
      </c>
      <c r="C1051" s="4" t="s">
        <v>6422</v>
      </c>
      <c r="D1051" s="4" t="s">
        <v>2398</v>
      </c>
      <c r="E1051" s="4" t="s">
        <v>2636</v>
      </c>
      <c r="F1051" s="4" t="s">
        <v>6385</v>
      </c>
      <c r="G1051" s="4" t="s">
        <v>6383</v>
      </c>
      <c r="H1051" s="4" t="s">
        <v>4112</v>
      </c>
      <c r="I1051" s="75">
        <v>44.8</v>
      </c>
      <c r="J1051" s="75">
        <v>-121.4</v>
      </c>
      <c r="K1051" s="209">
        <v>2640</v>
      </c>
      <c r="L1051" s="4">
        <v>1976</v>
      </c>
      <c r="M1051" s="4">
        <v>1995</v>
      </c>
      <c r="N1051" s="75" t="s">
        <v>2276</v>
      </c>
      <c r="O1051" s="4" t="s">
        <v>67</v>
      </c>
      <c r="P1051" s="19" t="s">
        <v>6401</v>
      </c>
      <c r="Q1051" s="4" t="s">
        <v>6386</v>
      </c>
    </row>
    <row r="1052" spans="1:17" ht="43.5">
      <c r="A1052" s="193">
        <v>288</v>
      </c>
      <c r="B1052" s="206" t="s">
        <v>6381</v>
      </c>
      <c r="C1052" s="4" t="s">
        <v>6423</v>
      </c>
      <c r="D1052" s="4" t="s">
        <v>2398</v>
      </c>
      <c r="E1052" s="4" t="s">
        <v>2636</v>
      </c>
      <c r="F1052" s="4" t="s">
        <v>6385</v>
      </c>
      <c r="G1052" s="4" t="s">
        <v>6383</v>
      </c>
      <c r="H1052" s="4" t="s">
        <v>4112</v>
      </c>
      <c r="I1052" s="75">
        <v>44.8</v>
      </c>
      <c r="J1052" s="75">
        <v>-121.4</v>
      </c>
      <c r="K1052" s="209">
        <v>2640</v>
      </c>
      <c r="L1052" s="4">
        <v>1996</v>
      </c>
      <c r="M1052" s="4">
        <v>2010</v>
      </c>
      <c r="N1052" s="75" t="s">
        <v>2276</v>
      </c>
      <c r="O1052" s="4" t="s">
        <v>67</v>
      </c>
      <c r="P1052" s="19" t="s">
        <v>6401</v>
      </c>
      <c r="Q1052" s="4" t="s">
        <v>6386</v>
      </c>
    </row>
    <row r="1053" spans="1:17" ht="41.5" customHeight="1">
      <c r="A1053" s="193">
        <v>289</v>
      </c>
      <c r="B1053" s="207" t="s">
        <v>6387</v>
      </c>
      <c r="C1053" s="4" t="s">
        <v>6424</v>
      </c>
      <c r="D1053" s="4" t="s">
        <v>2398</v>
      </c>
      <c r="E1053" s="4" t="s">
        <v>2636</v>
      </c>
      <c r="F1053" s="4" t="s">
        <v>6388</v>
      </c>
      <c r="G1053" s="4" t="s">
        <v>6389</v>
      </c>
      <c r="H1053" s="4" t="s">
        <v>5373</v>
      </c>
      <c r="I1053" s="75">
        <v>60</v>
      </c>
      <c r="J1053" s="75">
        <v>-112.1</v>
      </c>
      <c r="K1053" s="209">
        <v>43000</v>
      </c>
      <c r="L1053" s="4">
        <v>1970</v>
      </c>
      <c r="M1053" s="4">
        <v>2015</v>
      </c>
      <c r="N1053" s="75" t="s">
        <v>2276</v>
      </c>
      <c r="O1053" s="4" t="s">
        <v>67</v>
      </c>
      <c r="P1053" s="19" t="s">
        <v>6401</v>
      </c>
      <c r="Q1053" s="4"/>
    </row>
    <row r="1054" spans="1:17" ht="58">
      <c r="A1054" s="193">
        <v>289</v>
      </c>
      <c r="B1054" s="206" t="s">
        <v>6387</v>
      </c>
      <c r="C1054" s="4" t="s">
        <v>6425</v>
      </c>
      <c r="D1054" s="4" t="s">
        <v>2398</v>
      </c>
      <c r="E1054" s="4" t="s">
        <v>2636</v>
      </c>
      <c r="F1054" s="4" t="s">
        <v>6390</v>
      </c>
      <c r="G1054" s="4" t="s">
        <v>6389</v>
      </c>
      <c r="H1054" s="4" t="s">
        <v>5373</v>
      </c>
      <c r="I1054" s="75">
        <v>57.2</v>
      </c>
      <c r="J1054" s="75">
        <v>-111.5</v>
      </c>
      <c r="K1054" s="209">
        <v>79000</v>
      </c>
      <c r="L1054" s="4">
        <v>1970</v>
      </c>
      <c r="M1054" s="4">
        <v>2015</v>
      </c>
      <c r="N1054" s="4">
        <v>1.3</v>
      </c>
      <c r="O1054" s="4" t="s">
        <v>67</v>
      </c>
      <c r="P1054" s="19" t="s">
        <v>6401</v>
      </c>
      <c r="Q1054" s="4" t="s">
        <v>6391</v>
      </c>
    </row>
    <row r="1055" spans="1:17" ht="112.5" customHeight="1">
      <c r="A1055" s="193">
        <v>290</v>
      </c>
      <c r="B1055" s="58" t="s">
        <v>6392</v>
      </c>
      <c r="C1055" s="4" t="s">
        <v>6426</v>
      </c>
      <c r="D1055" s="4" t="s">
        <v>2416</v>
      </c>
      <c r="E1055" s="4" t="s">
        <v>2636</v>
      </c>
      <c r="F1055" s="4" t="s">
        <v>6393</v>
      </c>
      <c r="G1055" s="75" t="s">
        <v>2276</v>
      </c>
      <c r="H1055" s="4" t="s">
        <v>3490</v>
      </c>
      <c r="I1055" s="75">
        <v>-18.440000000000001</v>
      </c>
      <c r="J1055" s="75">
        <v>27.26</v>
      </c>
      <c r="K1055" s="209">
        <v>6387</v>
      </c>
      <c r="L1055" s="4">
        <v>1989</v>
      </c>
      <c r="M1055" s="4">
        <v>2007</v>
      </c>
      <c r="N1055" s="211">
        <v>3.0056779077770099</v>
      </c>
      <c r="O1055" s="4" t="s">
        <v>67</v>
      </c>
      <c r="P1055" s="19" t="s">
        <v>6401</v>
      </c>
      <c r="Q1055" s="4" t="s">
        <v>6394</v>
      </c>
    </row>
    <row r="1056" spans="1:17" ht="29" customHeight="1">
      <c r="A1056" s="193">
        <v>291</v>
      </c>
      <c r="B1056" s="207" t="s">
        <v>6395</v>
      </c>
      <c r="C1056" s="4" t="s">
        <v>6427</v>
      </c>
      <c r="D1056" s="4" t="s">
        <v>2398</v>
      </c>
      <c r="E1056" s="4" t="s">
        <v>2636</v>
      </c>
      <c r="F1056" s="4" t="s">
        <v>6396</v>
      </c>
      <c r="G1056" s="4" t="s">
        <v>6397</v>
      </c>
      <c r="H1056" s="4" t="s">
        <v>6398</v>
      </c>
      <c r="I1056" s="75">
        <v>65.17</v>
      </c>
      <c r="J1056" s="75">
        <v>18.75</v>
      </c>
      <c r="K1056" s="209">
        <v>598</v>
      </c>
      <c r="L1056" s="4">
        <v>1921</v>
      </c>
      <c r="M1056" s="4">
        <v>1970</v>
      </c>
      <c r="N1056" s="75" t="s">
        <v>2276</v>
      </c>
      <c r="O1056" s="4" t="s">
        <v>67</v>
      </c>
      <c r="P1056" s="19" t="s">
        <v>6401</v>
      </c>
      <c r="Q1056" s="4"/>
    </row>
    <row r="1057" spans="1:17" ht="32" customHeight="1">
      <c r="A1057" s="193">
        <v>292</v>
      </c>
      <c r="B1057" s="207" t="s">
        <v>6399</v>
      </c>
      <c r="C1057" s="4" t="s">
        <v>6428</v>
      </c>
      <c r="D1057" s="4" t="s">
        <v>2398</v>
      </c>
      <c r="E1057" s="4" t="s">
        <v>4847</v>
      </c>
      <c r="F1057" s="75" t="s">
        <v>2276</v>
      </c>
      <c r="G1057" s="75" t="s">
        <v>2276</v>
      </c>
      <c r="H1057" s="4" t="s">
        <v>6398</v>
      </c>
      <c r="I1057" s="75">
        <v>59.2</v>
      </c>
      <c r="J1057" s="75">
        <v>18.5</v>
      </c>
      <c r="K1057" s="209">
        <v>305360</v>
      </c>
      <c r="L1057" s="4">
        <v>2011</v>
      </c>
      <c r="M1057" s="4">
        <v>2015</v>
      </c>
      <c r="N1057" s="75" t="s">
        <v>2276</v>
      </c>
      <c r="O1057" s="4" t="s">
        <v>67</v>
      </c>
      <c r="P1057" s="19" t="s">
        <v>6401</v>
      </c>
      <c r="Q1057" s="4" t="s">
        <v>6400</v>
      </c>
    </row>
    <row r="1058" spans="1:17" ht="33.5" customHeight="1">
      <c r="A1058" s="213">
        <v>293</v>
      </c>
      <c r="B1058" s="40" t="s">
        <v>6989</v>
      </c>
      <c r="C1058" s="19" t="s">
        <v>6990</v>
      </c>
      <c r="D1058" s="4" t="s">
        <v>2398</v>
      </c>
      <c r="E1058" s="204" t="s">
        <v>2399</v>
      </c>
      <c r="F1058" s="19" t="s">
        <v>6991</v>
      </c>
      <c r="G1058" s="19" t="s">
        <v>6992</v>
      </c>
      <c r="H1058" s="19" t="s">
        <v>7295</v>
      </c>
      <c r="I1058" s="21">
        <f>48 + 23/60</f>
        <v>48.383333333333333</v>
      </c>
      <c r="J1058" s="21">
        <f>21 + 21.7/60</f>
        <v>21.361666666666668</v>
      </c>
      <c r="K1058" s="21">
        <v>1</v>
      </c>
      <c r="L1058" s="19">
        <v>2006</v>
      </c>
      <c r="M1058" s="19">
        <v>2007</v>
      </c>
      <c r="N1058" s="75" t="s">
        <v>2276</v>
      </c>
      <c r="O1058" s="4" t="s">
        <v>67</v>
      </c>
      <c r="P1058" s="19" t="s">
        <v>5187</v>
      </c>
      <c r="Q1058" s="204"/>
    </row>
    <row r="1059" spans="1:17" ht="38" customHeight="1">
      <c r="A1059" s="213">
        <v>294</v>
      </c>
      <c r="B1059" s="40" t="s">
        <v>6997</v>
      </c>
      <c r="C1059" s="19" t="s">
        <v>6998</v>
      </c>
      <c r="D1059" s="4" t="s">
        <v>2398</v>
      </c>
      <c r="E1059" s="204" t="s">
        <v>2400</v>
      </c>
      <c r="F1059" s="204" t="s">
        <v>6999</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7010</v>
      </c>
    </row>
    <row r="1060" spans="1:17" ht="42.5" customHeight="1">
      <c r="A1060" s="213">
        <v>295</v>
      </c>
      <c r="B1060" s="40" t="s">
        <v>7008</v>
      </c>
      <c r="C1060" s="19" t="s">
        <v>7009</v>
      </c>
      <c r="D1060" s="4" t="s">
        <v>2398</v>
      </c>
      <c r="E1060" s="204" t="s">
        <v>2400</v>
      </c>
      <c r="F1060" s="75" t="s">
        <v>2276</v>
      </c>
      <c r="G1060" s="204" t="s">
        <v>165</v>
      </c>
      <c r="H1060" s="19" t="s">
        <v>121</v>
      </c>
      <c r="I1060" s="21">
        <f>AVERAGE(-9 - 15/60, -10-40/60)</f>
        <v>-9.9583333333333321</v>
      </c>
      <c r="J1060" s="21">
        <f>AVERAGE(-62 - 50/60, -60)</f>
        <v>-61.416666666666671</v>
      </c>
      <c r="K1060" s="21">
        <f>185*185</f>
        <v>34225</v>
      </c>
      <c r="L1060" s="204">
        <v>2005</v>
      </c>
      <c r="M1060" s="204">
        <v>2005</v>
      </c>
      <c r="N1060" s="75" t="s">
        <v>2276</v>
      </c>
      <c r="O1060" s="4" t="s">
        <v>67</v>
      </c>
      <c r="P1060" s="19" t="s">
        <v>5187</v>
      </c>
      <c r="Q1060" s="19" t="s">
        <v>7011</v>
      </c>
    </row>
    <row r="1061" spans="1:17" ht="37.5" customHeight="1">
      <c r="A1061" s="213">
        <v>296</v>
      </c>
      <c r="B1061" s="40" t="s">
        <v>7018</v>
      </c>
      <c r="C1061" s="19" t="s">
        <v>7019</v>
      </c>
      <c r="D1061" s="4" t="s">
        <v>2398</v>
      </c>
      <c r="E1061" s="204" t="s">
        <v>2405</v>
      </c>
      <c r="F1061" s="75" t="s">
        <v>2276</v>
      </c>
      <c r="G1061" s="204" t="s">
        <v>165</v>
      </c>
      <c r="H1061" s="19" t="s">
        <v>121</v>
      </c>
      <c r="I1061" s="21">
        <v>-12.6955445</v>
      </c>
      <c r="J1061" s="21">
        <v>-55.928997299999999</v>
      </c>
      <c r="K1061" s="21">
        <v>903357</v>
      </c>
      <c r="L1061" s="204">
        <v>2001</v>
      </c>
      <c r="M1061" s="204">
        <v>2004</v>
      </c>
      <c r="N1061" s="75" t="s">
        <v>2276</v>
      </c>
      <c r="O1061" s="204" t="s">
        <v>149</v>
      </c>
      <c r="P1061" s="19" t="s">
        <v>5187</v>
      </c>
      <c r="Q1061" s="204"/>
    </row>
    <row r="1062" spans="1:17" ht="39" customHeight="1">
      <c r="A1062" s="213">
        <v>297</v>
      </c>
      <c r="B1062" s="40" t="s">
        <v>7024</v>
      </c>
      <c r="C1062" s="19" t="s">
        <v>7025</v>
      </c>
      <c r="D1062" s="4" t="s">
        <v>2398</v>
      </c>
      <c r="E1062" s="204" t="s">
        <v>2637</v>
      </c>
      <c r="F1062" s="204" t="s">
        <v>7027</v>
      </c>
      <c r="G1062" s="204" t="s">
        <v>7026</v>
      </c>
      <c r="H1062" s="19" t="s">
        <v>4112</v>
      </c>
      <c r="I1062" s="21">
        <v>40.752764800000001</v>
      </c>
      <c r="J1062" s="21">
        <v>-104.0032815</v>
      </c>
      <c r="K1062" s="21">
        <f>60900/100</f>
        <v>609</v>
      </c>
      <c r="L1062" s="19">
        <v>2007</v>
      </c>
      <c r="M1062" s="19">
        <v>2010</v>
      </c>
      <c r="N1062" s="75" t="s">
        <v>2276</v>
      </c>
      <c r="O1062" s="4" t="s">
        <v>67</v>
      </c>
      <c r="P1062" s="19" t="s">
        <v>5187</v>
      </c>
      <c r="Q1062" s="4" t="s">
        <v>7029</v>
      </c>
    </row>
    <row r="1063" spans="1:17" ht="41.5" customHeight="1">
      <c r="A1063" s="213">
        <v>298</v>
      </c>
      <c r="B1063" s="40" t="s">
        <v>7036</v>
      </c>
      <c r="C1063" s="204" t="s">
        <v>7035</v>
      </c>
      <c r="D1063" s="4" t="s">
        <v>2398</v>
      </c>
      <c r="E1063" s="204" t="s">
        <v>2399</v>
      </c>
      <c r="F1063" s="204" t="s">
        <v>7034</v>
      </c>
      <c r="G1063" s="75" t="s">
        <v>2276</v>
      </c>
      <c r="H1063" s="204" t="s">
        <v>3616</v>
      </c>
      <c r="I1063" s="21">
        <v>-31.682602500000002</v>
      </c>
      <c r="J1063" s="21">
        <v>-64.837188999999995</v>
      </c>
      <c r="K1063" s="21">
        <f>200*16/(1000^2)</f>
        <v>3.2000000000000002E-3</v>
      </c>
      <c r="L1063" s="19">
        <v>2009</v>
      </c>
      <c r="M1063" s="19">
        <v>2009</v>
      </c>
      <c r="N1063" s="75" t="s">
        <v>2276</v>
      </c>
      <c r="O1063" s="4" t="s">
        <v>67</v>
      </c>
      <c r="P1063" s="19" t="s">
        <v>5187</v>
      </c>
      <c r="Q1063" s="204"/>
    </row>
    <row r="1064" spans="1:17" ht="38" customHeight="1">
      <c r="A1064" s="213">
        <v>299</v>
      </c>
      <c r="B1064" s="40" t="s">
        <v>7040</v>
      </c>
      <c r="C1064" s="19" t="s">
        <v>7041</v>
      </c>
      <c r="D1064" s="19" t="s">
        <v>2398</v>
      </c>
      <c r="E1064" s="204" t="s">
        <v>2422</v>
      </c>
      <c r="F1064" s="11" t="s">
        <v>7043</v>
      </c>
      <c r="G1064" s="11" t="s">
        <v>7042</v>
      </c>
      <c r="H1064" s="19" t="s">
        <v>4112</v>
      </c>
      <c r="I1064" s="21">
        <f>43 + 10 /60</f>
        <v>43.166666666666664</v>
      </c>
      <c r="J1064" s="21">
        <f>-116-48/60</f>
        <v>-116.8</v>
      </c>
      <c r="K1064" s="21">
        <f>324/100</f>
        <v>3.24</v>
      </c>
      <c r="L1064" s="19">
        <v>2004</v>
      </c>
      <c r="M1064" s="19">
        <v>2010</v>
      </c>
      <c r="N1064" s="75" t="s">
        <v>2276</v>
      </c>
      <c r="O1064" s="4" t="s">
        <v>67</v>
      </c>
      <c r="P1064" s="19" t="s">
        <v>5187</v>
      </c>
      <c r="Q1064" s="204"/>
    </row>
    <row r="1065" spans="1:17" ht="36.5" customHeight="1">
      <c r="A1065" s="213">
        <v>300</v>
      </c>
      <c r="B1065" s="57" t="s">
        <v>7047</v>
      </c>
      <c r="C1065" s="19" t="s">
        <v>7048</v>
      </c>
      <c r="D1065" s="19" t="s">
        <v>2398</v>
      </c>
      <c r="E1065" s="11" t="s">
        <v>2636</v>
      </c>
      <c r="F1065" s="82" t="s">
        <v>2276</v>
      </c>
      <c r="G1065" s="11" t="s">
        <v>7046</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3">
        <v>301</v>
      </c>
      <c r="B1066" s="40" t="s">
        <v>7060</v>
      </c>
      <c r="C1066" s="19" t="s">
        <v>7061</v>
      </c>
      <c r="D1066" s="19" t="s">
        <v>2398</v>
      </c>
      <c r="E1066" s="204" t="s">
        <v>2422</v>
      </c>
      <c r="F1066" s="4" t="s">
        <v>7065</v>
      </c>
      <c r="G1066" s="204" t="s">
        <v>7068</v>
      </c>
      <c r="H1066" s="204" t="s">
        <v>121</v>
      </c>
      <c r="I1066" s="21">
        <v>-16</v>
      </c>
      <c r="J1066" s="21">
        <v>-42</v>
      </c>
      <c r="K1066" s="21">
        <v>609</v>
      </c>
      <c r="L1066" s="204">
        <v>2014</v>
      </c>
      <c r="M1066" s="204">
        <v>2014</v>
      </c>
      <c r="N1066" s="82" t="s">
        <v>2276</v>
      </c>
      <c r="O1066" s="19" t="s">
        <v>67</v>
      </c>
      <c r="P1066" s="19" t="s">
        <v>5187</v>
      </c>
      <c r="Q1066" s="4" t="s">
        <v>7064</v>
      </c>
    </row>
    <row r="1067" spans="1:17" ht="44.5" customHeight="1">
      <c r="A1067" s="213">
        <v>301</v>
      </c>
      <c r="B1067" s="40" t="s">
        <v>7060</v>
      </c>
      <c r="C1067" s="19" t="s">
        <v>7062</v>
      </c>
      <c r="D1067" s="19" t="s">
        <v>2398</v>
      </c>
      <c r="E1067" s="204" t="s">
        <v>2422</v>
      </c>
      <c r="F1067" s="4" t="s">
        <v>7066</v>
      </c>
      <c r="G1067" s="204" t="s">
        <v>7067</v>
      </c>
      <c r="H1067" s="204" t="s">
        <v>121</v>
      </c>
      <c r="I1067" s="21">
        <v>-15.823395100000001</v>
      </c>
      <c r="J1067" s="21">
        <v>-43.322687899999998</v>
      </c>
      <c r="K1067" s="21">
        <v>1761</v>
      </c>
      <c r="L1067" s="204">
        <v>2014</v>
      </c>
      <c r="M1067" s="204">
        <v>2014</v>
      </c>
      <c r="N1067" s="82" t="s">
        <v>2276</v>
      </c>
      <c r="O1067" s="19" t="s">
        <v>67</v>
      </c>
      <c r="P1067" s="19" t="s">
        <v>5187</v>
      </c>
      <c r="Q1067" s="4" t="s">
        <v>7064</v>
      </c>
    </row>
    <row r="1068" spans="1:17" ht="44.5" customHeight="1">
      <c r="A1068" s="213">
        <v>301</v>
      </c>
      <c r="B1068" s="40" t="s">
        <v>7060</v>
      </c>
      <c r="C1068" s="204" t="s">
        <v>7063</v>
      </c>
      <c r="D1068" s="19" t="s">
        <v>2398</v>
      </c>
      <c r="E1068" s="204" t="s">
        <v>2422</v>
      </c>
      <c r="F1068" s="4" t="s">
        <v>3046</v>
      </c>
      <c r="G1068" s="204" t="s">
        <v>2956</v>
      </c>
      <c r="H1068" s="204" t="s">
        <v>121</v>
      </c>
      <c r="I1068" s="21">
        <v>-14.578281</v>
      </c>
      <c r="J1068" s="21">
        <v>-38.866053600000001</v>
      </c>
      <c r="K1068" s="21">
        <v>7070</v>
      </c>
      <c r="L1068" s="204">
        <v>2014</v>
      </c>
      <c r="M1068" s="204">
        <v>2014</v>
      </c>
      <c r="N1068" s="82" t="s">
        <v>2276</v>
      </c>
      <c r="O1068" s="19" t="s">
        <v>67</v>
      </c>
      <c r="P1068" s="19" t="s">
        <v>5187</v>
      </c>
      <c r="Q1068" s="4" t="s">
        <v>7064</v>
      </c>
    </row>
    <row r="1069" spans="1:17" ht="36.5" customHeight="1">
      <c r="A1069" s="213">
        <v>302</v>
      </c>
      <c r="B1069" s="40" t="s">
        <v>7082</v>
      </c>
      <c r="C1069" s="204" t="s">
        <v>7081</v>
      </c>
      <c r="D1069" s="19" t="s">
        <v>2398</v>
      </c>
      <c r="E1069" s="204" t="s">
        <v>2399</v>
      </c>
      <c r="F1069" s="204" t="s">
        <v>7083</v>
      </c>
      <c r="G1069" s="204" t="s">
        <v>7084</v>
      </c>
      <c r="H1069" s="11" t="s">
        <v>6116</v>
      </c>
      <c r="I1069" s="21">
        <f>42 + 36/60</f>
        <v>42.6</v>
      </c>
      <c r="J1069" s="21">
        <f>1/60</f>
        <v>1.6666666666666666E-2</v>
      </c>
      <c r="K1069" s="21">
        <f>3.6/100</f>
        <v>3.6000000000000004E-2</v>
      </c>
      <c r="L1069" s="11">
        <v>2015</v>
      </c>
      <c r="M1069" s="11">
        <v>2015</v>
      </c>
      <c r="N1069" s="82" t="s">
        <v>2276</v>
      </c>
      <c r="O1069" s="19" t="s">
        <v>67</v>
      </c>
      <c r="P1069" s="19" t="s">
        <v>5187</v>
      </c>
      <c r="Q1069" s="204"/>
    </row>
    <row r="1070" spans="1:17" ht="39.5" customHeight="1">
      <c r="A1070" s="213">
        <v>303</v>
      </c>
      <c r="B1070" s="40" t="s">
        <v>7095</v>
      </c>
      <c r="C1070" s="19" t="s">
        <v>7096</v>
      </c>
      <c r="D1070" s="204" t="s">
        <v>2398</v>
      </c>
      <c r="E1070" s="204" t="s">
        <v>2422</v>
      </c>
      <c r="F1070" s="204" t="s">
        <v>7098</v>
      </c>
      <c r="G1070" s="204" t="s">
        <v>7097</v>
      </c>
      <c r="H1070" s="204" t="s">
        <v>4314</v>
      </c>
      <c r="I1070" s="21">
        <v>43.224080006857598</v>
      </c>
      <c r="J1070" s="21">
        <v>-7.6646931826081497</v>
      </c>
      <c r="K1070" s="21">
        <f>30000/0.6</f>
        <v>50000</v>
      </c>
      <c r="L1070" s="204">
        <v>2005</v>
      </c>
      <c r="M1070" s="204">
        <v>2009</v>
      </c>
      <c r="N1070" s="82" t="s">
        <v>2276</v>
      </c>
      <c r="O1070" s="19" t="s">
        <v>67</v>
      </c>
      <c r="P1070" s="19" t="s">
        <v>5187</v>
      </c>
      <c r="Q1070" s="19" t="s">
        <v>7115</v>
      </c>
    </row>
    <row r="1071" spans="1:17" ht="39.5" customHeight="1">
      <c r="A1071" s="213">
        <v>303</v>
      </c>
      <c r="B1071" s="40" t="s">
        <v>7095</v>
      </c>
      <c r="C1071" s="19" t="s">
        <v>7116</v>
      </c>
      <c r="D1071" s="204" t="s">
        <v>2398</v>
      </c>
      <c r="E1071" s="204" t="s">
        <v>2422</v>
      </c>
      <c r="F1071" s="204" t="s">
        <v>7099</v>
      </c>
      <c r="G1071" s="204" t="s">
        <v>7097</v>
      </c>
      <c r="H1071" s="204" t="s">
        <v>4314</v>
      </c>
      <c r="I1071" s="21">
        <v>43.284344685012499</v>
      </c>
      <c r="J1071" s="21">
        <v>-5.2442031536895302</v>
      </c>
      <c r="K1071" s="21">
        <v>6000</v>
      </c>
      <c r="L1071" s="204">
        <v>2005</v>
      </c>
      <c r="M1071" s="204">
        <v>2009</v>
      </c>
      <c r="N1071" s="82" t="s">
        <v>2276</v>
      </c>
      <c r="O1071" s="19" t="s">
        <v>67</v>
      </c>
      <c r="P1071" s="19" t="s">
        <v>5187</v>
      </c>
      <c r="Q1071" s="19" t="s">
        <v>7115</v>
      </c>
    </row>
    <row r="1072" spans="1:17" ht="39.5" customHeight="1">
      <c r="A1072" s="213">
        <v>303</v>
      </c>
      <c r="B1072" s="40" t="s">
        <v>7095</v>
      </c>
      <c r="C1072" s="19" t="s">
        <v>7117</v>
      </c>
      <c r="D1072" s="204" t="s">
        <v>2398</v>
      </c>
      <c r="E1072" s="204" t="s">
        <v>2422</v>
      </c>
      <c r="F1072" s="204" t="s">
        <v>7100</v>
      </c>
      <c r="G1072" s="204" t="s">
        <v>7097</v>
      </c>
      <c r="H1072" s="204" t="s">
        <v>4314</v>
      </c>
      <c r="I1072" s="21">
        <v>43.112988378599098</v>
      </c>
      <c r="J1072" s="21">
        <v>-2.7109157073804502</v>
      </c>
      <c r="K1072" s="21">
        <v>3000</v>
      </c>
      <c r="L1072" s="204">
        <v>2005</v>
      </c>
      <c r="M1072" s="204">
        <v>2009</v>
      </c>
      <c r="N1072" s="82" t="s">
        <v>2276</v>
      </c>
      <c r="O1072" s="19" t="s">
        <v>67</v>
      </c>
      <c r="P1072" s="19" t="s">
        <v>5187</v>
      </c>
      <c r="Q1072" s="19" t="s">
        <v>7115</v>
      </c>
    </row>
    <row r="1073" spans="1:17" ht="39.5" customHeight="1">
      <c r="A1073" s="213">
        <v>303</v>
      </c>
      <c r="B1073" s="40" t="s">
        <v>7095</v>
      </c>
      <c r="C1073" s="19" t="s">
        <v>7118</v>
      </c>
      <c r="D1073" s="204" t="s">
        <v>2398</v>
      </c>
      <c r="E1073" s="204" t="s">
        <v>2422</v>
      </c>
      <c r="F1073" s="11" t="s">
        <v>6143</v>
      </c>
      <c r="G1073" s="11" t="s">
        <v>7103</v>
      </c>
      <c r="H1073" s="204" t="s">
        <v>4314</v>
      </c>
      <c r="I1073" s="21">
        <v>42.858794319360598</v>
      </c>
      <c r="J1073" s="21">
        <v>-1.2826979314387601</v>
      </c>
      <c r="K1073" s="21">
        <v>1000</v>
      </c>
      <c r="L1073" s="204">
        <v>2005</v>
      </c>
      <c r="M1073" s="204">
        <v>2009</v>
      </c>
      <c r="N1073" s="82" t="s">
        <v>2276</v>
      </c>
      <c r="O1073" s="19" t="s">
        <v>67</v>
      </c>
      <c r="P1073" s="19" t="s">
        <v>5187</v>
      </c>
      <c r="Q1073" s="19" t="s">
        <v>7115</v>
      </c>
    </row>
    <row r="1074" spans="1:17" ht="39.5" customHeight="1">
      <c r="A1074" s="213">
        <v>303</v>
      </c>
      <c r="B1074" s="40" t="s">
        <v>7095</v>
      </c>
      <c r="C1074" s="19" t="s">
        <v>7119</v>
      </c>
      <c r="D1074" s="204" t="s">
        <v>2398</v>
      </c>
      <c r="E1074" s="204" t="s">
        <v>2422</v>
      </c>
      <c r="F1074" s="11" t="s">
        <v>7101</v>
      </c>
      <c r="G1074" s="11" t="s">
        <v>7103</v>
      </c>
      <c r="H1074" s="204" t="s">
        <v>4314</v>
      </c>
      <c r="I1074" s="21">
        <v>42.234142612692601</v>
      </c>
      <c r="J1074" s="21">
        <v>0.64997402018690098</v>
      </c>
      <c r="K1074" s="21">
        <v>6000</v>
      </c>
      <c r="L1074" s="204">
        <v>2005</v>
      </c>
      <c r="M1074" s="204">
        <v>2009</v>
      </c>
      <c r="N1074" s="82" t="s">
        <v>2276</v>
      </c>
      <c r="O1074" s="19" t="s">
        <v>67</v>
      </c>
      <c r="P1074" s="19" t="s">
        <v>5187</v>
      </c>
      <c r="Q1074" s="19" t="s">
        <v>7115</v>
      </c>
    </row>
    <row r="1075" spans="1:17" ht="39.5" customHeight="1">
      <c r="A1075" s="213">
        <v>303</v>
      </c>
      <c r="B1075" s="40" t="s">
        <v>7095</v>
      </c>
      <c r="C1075" s="19" t="s">
        <v>7120</v>
      </c>
      <c r="D1075" s="204" t="s">
        <v>2398</v>
      </c>
      <c r="E1075" s="204" t="s">
        <v>2422</v>
      </c>
      <c r="F1075" s="11" t="s">
        <v>7102</v>
      </c>
      <c r="G1075" s="11" t="s">
        <v>7103</v>
      </c>
      <c r="H1075" s="204" t="s">
        <v>4314</v>
      </c>
      <c r="I1075" s="21">
        <v>42.085069503480803</v>
      </c>
      <c r="J1075" s="21">
        <v>2.5175000198392001</v>
      </c>
      <c r="K1075" s="21">
        <v>2000</v>
      </c>
      <c r="L1075" s="204">
        <v>2005</v>
      </c>
      <c r="M1075" s="204">
        <v>2009</v>
      </c>
      <c r="N1075" s="82" t="s">
        <v>2276</v>
      </c>
      <c r="O1075" s="19" t="s">
        <v>67</v>
      </c>
      <c r="P1075" s="19" t="s">
        <v>5187</v>
      </c>
      <c r="Q1075" s="19" t="s">
        <v>7115</v>
      </c>
    </row>
    <row r="1076" spans="1:17" ht="39.5" customHeight="1">
      <c r="A1076" s="213">
        <v>303</v>
      </c>
      <c r="B1076" s="40" t="s">
        <v>7095</v>
      </c>
      <c r="C1076" s="19" t="s">
        <v>7121</v>
      </c>
      <c r="D1076" s="204" t="s">
        <v>2398</v>
      </c>
      <c r="E1076" s="204" t="s">
        <v>2422</v>
      </c>
      <c r="F1076" s="19" t="s">
        <v>7104</v>
      </c>
      <c r="G1076" s="204" t="s">
        <v>7112</v>
      </c>
      <c r="H1076" s="204" t="s">
        <v>4314</v>
      </c>
      <c r="I1076" s="21">
        <v>42.241385118929301</v>
      </c>
      <c r="J1076" s="21">
        <v>-2.1373345217399802</v>
      </c>
      <c r="K1076" s="21">
        <v>5000</v>
      </c>
      <c r="L1076" s="204">
        <v>2005</v>
      </c>
      <c r="M1076" s="204">
        <v>2009</v>
      </c>
      <c r="N1076" s="82" t="s">
        <v>2276</v>
      </c>
      <c r="O1076" s="19" t="s">
        <v>67</v>
      </c>
      <c r="P1076" s="19" t="s">
        <v>5187</v>
      </c>
      <c r="Q1076" s="19" t="s">
        <v>7115</v>
      </c>
    </row>
    <row r="1077" spans="1:17" ht="39.5" customHeight="1">
      <c r="A1077" s="213">
        <v>303</v>
      </c>
      <c r="B1077" s="40" t="s">
        <v>7095</v>
      </c>
      <c r="C1077" s="19" t="s">
        <v>7122</v>
      </c>
      <c r="D1077" s="204" t="s">
        <v>2398</v>
      </c>
      <c r="E1077" s="204" t="s">
        <v>2422</v>
      </c>
      <c r="F1077" s="19" t="s">
        <v>7105</v>
      </c>
      <c r="G1077" s="204" t="s">
        <v>7112</v>
      </c>
      <c r="H1077" s="204" t="s">
        <v>4314</v>
      </c>
      <c r="I1077" s="21">
        <v>40.725552574195703</v>
      </c>
      <c r="J1077" s="21">
        <v>-0.79917194337321795</v>
      </c>
      <c r="K1077" s="21">
        <v>5000</v>
      </c>
      <c r="L1077" s="204">
        <v>2005</v>
      </c>
      <c r="M1077" s="204">
        <v>2009</v>
      </c>
      <c r="N1077" s="82" t="s">
        <v>2276</v>
      </c>
      <c r="O1077" s="19" t="s">
        <v>67</v>
      </c>
      <c r="P1077" s="19" t="s">
        <v>5187</v>
      </c>
      <c r="Q1077" s="19" t="s">
        <v>7115</v>
      </c>
    </row>
    <row r="1078" spans="1:17" ht="39.5" customHeight="1">
      <c r="A1078" s="213">
        <v>303</v>
      </c>
      <c r="B1078" s="40" t="s">
        <v>7095</v>
      </c>
      <c r="C1078" s="19" t="s">
        <v>7123</v>
      </c>
      <c r="D1078" s="204" t="s">
        <v>2398</v>
      </c>
      <c r="E1078" s="204" t="s">
        <v>2422</v>
      </c>
      <c r="F1078" s="19" t="s">
        <v>7106</v>
      </c>
      <c r="G1078" s="204" t="s">
        <v>7112</v>
      </c>
      <c r="H1078" s="204" t="s">
        <v>4314</v>
      </c>
      <c r="I1078" s="21">
        <v>41.287346905146002</v>
      </c>
      <c r="J1078" s="21">
        <v>-3.77436906436238</v>
      </c>
      <c r="K1078" s="21">
        <v>15000</v>
      </c>
      <c r="L1078" s="204">
        <v>2005</v>
      </c>
      <c r="M1078" s="204">
        <v>2009</v>
      </c>
      <c r="N1078" s="82" t="s">
        <v>2276</v>
      </c>
      <c r="O1078" s="19" t="s">
        <v>67</v>
      </c>
      <c r="P1078" s="19" t="s">
        <v>5187</v>
      </c>
      <c r="Q1078" s="19" t="s">
        <v>7115</v>
      </c>
    </row>
    <row r="1079" spans="1:17" ht="39.5" customHeight="1">
      <c r="A1079" s="213">
        <v>303</v>
      </c>
      <c r="B1079" s="40" t="s">
        <v>7095</v>
      </c>
      <c r="C1079" s="19" t="s">
        <v>7124</v>
      </c>
      <c r="D1079" s="204" t="s">
        <v>2398</v>
      </c>
      <c r="E1079" s="204" t="s">
        <v>2422</v>
      </c>
      <c r="F1079" s="19" t="s">
        <v>7107</v>
      </c>
      <c r="G1079" s="204" t="s">
        <v>7112</v>
      </c>
      <c r="H1079" s="204" t="s">
        <v>4314</v>
      </c>
      <c r="I1079" s="21">
        <v>38.289214885243503</v>
      </c>
      <c r="J1079" s="21">
        <v>-2.04728771963822</v>
      </c>
      <c r="K1079" s="21">
        <v>2000</v>
      </c>
      <c r="L1079" s="204">
        <v>2005</v>
      </c>
      <c r="M1079" s="204">
        <v>2009</v>
      </c>
      <c r="N1079" s="82" t="s">
        <v>2276</v>
      </c>
      <c r="O1079" s="19" t="s">
        <v>67</v>
      </c>
      <c r="P1079" s="19" t="s">
        <v>5187</v>
      </c>
      <c r="Q1079" s="19" t="s">
        <v>7115</v>
      </c>
    </row>
    <row r="1080" spans="1:17" ht="39.5" customHeight="1">
      <c r="A1080" s="213">
        <v>303</v>
      </c>
      <c r="B1080" s="40" t="s">
        <v>7095</v>
      </c>
      <c r="C1080" s="19" t="s">
        <v>7125</v>
      </c>
      <c r="D1080" s="204" t="s">
        <v>2398</v>
      </c>
      <c r="E1080" s="204" t="s">
        <v>2422</v>
      </c>
      <c r="F1080" s="217" t="s">
        <v>7108</v>
      </c>
      <c r="G1080" s="204" t="s">
        <v>7112</v>
      </c>
      <c r="H1080" s="204" t="s">
        <v>4314</v>
      </c>
      <c r="I1080" s="21">
        <v>38.834407895083402</v>
      </c>
      <c r="J1080" s="21">
        <v>-4.7570266709673099</v>
      </c>
      <c r="K1080" s="21">
        <v>10000</v>
      </c>
      <c r="L1080" s="204">
        <v>2005</v>
      </c>
      <c r="M1080" s="204">
        <v>2009</v>
      </c>
      <c r="N1080" s="82" t="s">
        <v>2276</v>
      </c>
      <c r="O1080" s="19" t="s">
        <v>67</v>
      </c>
      <c r="P1080" s="19" t="s">
        <v>5187</v>
      </c>
      <c r="Q1080" s="19" t="s">
        <v>7115</v>
      </c>
    </row>
    <row r="1081" spans="1:17" ht="39.5" customHeight="1">
      <c r="A1081" s="213">
        <v>303</v>
      </c>
      <c r="B1081" s="40" t="s">
        <v>7095</v>
      </c>
      <c r="C1081" s="19" t="s">
        <v>7126</v>
      </c>
      <c r="D1081" s="204" t="s">
        <v>2398</v>
      </c>
      <c r="E1081" s="204" t="s">
        <v>2422</v>
      </c>
      <c r="F1081" s="19" t="s">
        <v>7109</v>
      </c>
      <c r="G1081" s="204" t="s">
        <v>7112</v>
      </c>
      <c r="H1081" s="204" t="s">
        <v>4314</v>
      </c>
      <c r="I1081" s="21">
        <v>37.248316172262001</v>
      </c>
      <c r="J1081" s="21">
        <v>-3.8211603556102798</v>
      </c>
      <c r="K1081" s="21">
        <v>5000</v>
      </c>
      <c r="L1081" s="204">
        <v>2005</v>
      </c>
      <c r="M1081" s="204">
        <v>2009</v>
      </c>
      <c r="N1081" s="82" t="s">
        <v>2276</v>
      </c>
      <c r="O1081" s="19" t="s">
        <v>67</v>
      </c>
      <c r="P1081" s="19" t="s">
        <v>5187</v>
      </c>
      <c r="Q1081" s="19" t="s">
        <v>7115</v>
      </c>
    </row>
    <row r="1082" spans="1:17" ht="39.5" customHeight="1">
      <c r="A1082" s="213">
        <v>303</v>
      </c>
      <c r="B1082" s="40" t="s">
        <v>7095</v>
      </c>
      <c r="C1082" s="19" t="s">
        <v>7127</v>
      </c>
      <c r="D1082" s="204" t="s">
        <v>2398</v>
      </c>
      <c r="E1082" s="204" t="s">
        <v>2422</v>
      </c>
      <c r="F1082" s="204" t="s">
        <v>7110</v>
      </c>
      <c r="G1082" s="204" t="s">
        <v>7113</v>
      </c>
      <c r="H1082" s="204" t="s">
        <v>4314</v>
      </c>
      <c r="I1082" s="21">
        <v>39.833258874736103</v>
      </c>
      <c r="J1082" s="21">
        <v>-5.7127010622592902</v>
      </c>
      <c r="K1082" s="21">
        <v>40000</v>
      </c>
      <c r="L1082" s="204">
        <v>2005</v>
      </c>
      <c r="M1082" s="204">
        <v>2009</v>
      </c>
      <c r="N1082" s="82" t="s">
        <v>2276</v>
      </c>
      <c r="O1082" s="19" t="s">
        <v>67</v>
      </c>
      <c r="P1082" s="19" t="s">
        <v>5187</v>
      </c>
      <c r="Q1082" s="19" t="s">
        <v>7115</v>
      </c>
    </row>
    <row r="1083" spans="1:17" ht="39.5" customHeight="1">
      <c r="A1083" s="213">
        <v>303</v>
      </c>
      <c r="B1083" s="40" t="s">
        <v>7095</v>
      </c>
      <c r="C1083" s="19" t="s">
        <v>7128</v>
      </c>
      <c r="D1083" s="204" t="s">
        <v>2398</v>
      </c>
      <c r="E1083" s="204" t="s">
        <v>2422</v>
      </c>
      <c r="F1083" s="144" t="s">
        <v>7111</v>
      </c>
      <c r="G1083" s="204" t="s">
        <v>7113</v>
      </c>
      <c r="H1083" s="204" t="s">
        <v>4314</v>
      </c>
      <c r="I1083" s="21">
        <v>38.4622130523667</v>
      </c>
      <c r="J1083" s="21">
        <v>-4.7575626327340501</v>
      </c>
      <c r="K1083" s="21">
        <v>6800</v>
      </c>
      <c r="L1083" s="204">
        <v>2005</v>
      </c>
      <c r="M1083" s="204">
        <v>2009</v>
      </c>
      <c r="N1083" s="82" t="s">
        <v>2276</v>
      </c>
      <c r="O1083" s="19" t="s">
        <v>67</v>
      </c>
      <c r="P1083" s="19" t="s">
        <v>5187</v>
      </c>
      <c r="Q1083" s="19" t="s">
        <v>7115</v>
      </c>
    </row>
    <row r="1084" spans="1:17" ht="39.5" customHeight="1">
      <c r="A1084" s="213">
        <v>303</v>
      </c>
      <c r="B1084" s="40" t="s">
        <v>7095</v>
      </c>
      <c r="C1084" s="19" t="s">
        <v>7129</v>
      </c>
      <c r="D1084" s="204" t="s">
        <v>2398</v>
      </c>
      <c r="E1084" s="204" t="s">
        <v>2422</v>
      </c>
      <c r="F1084" s="144" t="s">
        <v>7114</v>
      </c>
      <c r="G1084" s="204" t="s">
        <v>7113</v>
      </c>
      <c r="H1084" s="204" t="s">
        <v>4314</v>
      </c>
      <c r="I1084" s="21">
        <v>39.780001987619499</v>
      </c>
      <c r="J1084" s="21">
        <v>-2.98873263352833</v>
      </c>
      <c r="K1084" s="21">
        <v>35000</v>
      </c>
      <c r="L1084" s="204">
        <v>2005</v>
      </c>
      <c r="M1084" s="204">
        <v>2009</v>
      </c>
      <c r="N1084" s="82" t="s">
        <v>2276</v>
      </c>
      <c r="O1084" s="19" t="s">
        <v>67</v>
      </c>
      <c r="P1084" s="19" t="s">
        <v>5187</v>
      </c>
      <c r="Q1084" s="19" t="s">
        <v>7115</v>
      </c>
    </row>
    <row r="1085" spans="1:17" ht="39.5" customHeight="1">
      <c r="A1085" s="213">
        <v>303</v>
      </c>
      <c r="B1085" s="40" t="s">
        <v>7095</v>
      </c>
      <c r="C1085" s="19" t="s">
        <v>7130</v>
      </c>
      <c r="D1085" s="204" t="s">
        <v>2398</v>
      </c>
      <c r="E1085" s="204" t="s">
        <v>2422</v>
      </c>
      <c r="F1085" s="144" t="s">
        <v>7114</v>
      </c>
      <c r="G1085" s="204" t="s">
        <v>7113</v>
      </c>
      <c r="H1085" s="204" t="s">
        <v>4314</v>
      </c>
      <c r="I1085" s="21">
        <v>42.098985381613502</v>
      </c>
      <c r="J1085" s="21">
        <v>-5.6201001304150999</v>
      </c>
      <c r="K1085" s="21">
        <v>35000</v>
      </c>
      <c r="L1085" s="204">
        <v>2005</v>
      </c>
      <c r="M1085" s="204">
        <v>2009</v>
      </c>
      <c r="N1085" s="82" t="s">
        <v>2276</v>
      </c>
      <c r="O1085" s="19" t="s">
        <v>67</v>
      </c>
      <c r="P1085" s="19" t="s">
        <v>5187</v>
      </c>
      <c r="Q1085" s="19" t="s">
        <v>7115</v>
      </c>
    </row>
    <row r="1086" spans="1:17" ht="39.5" customHeight="1">
      <c r="A1086" s="213">
        <v>303</v>
      </c>
      <c r="B1086" s="40" t="s">
        <v>7095</v>
      </c>
      <c r="C1086" s="19" t="s">
        <v>7131</v>
      </c>
      <c r="D1086" s="204" t="s">
        <v>2398</v>
      </c>
      <c r="E1086" s="204" t="s">
        <v>2422</v>
      </c>
      <c r="F1086" s="22" t="s">
        <v>7145</v>
      </c>
      <c r="G1086" s="204" t="s">
        <v>5533</v>
      </c>
      <c r="H1086" s="204" t="s">
        <v>4942</v>
      </c>
      <c r="I1086" s="21">
        <v>44.786053241569597</v>
      </c>
      <c r="J1086" s="21">
        <v>7.1427774572134703</v>
      </c>
      <c r="K1086" s="21">
        <v>8300</v>
      </c>
      <c r="L1086" s="204">
        <v>2005</v>
      </c>
      <c r="M1086" s="204">
        <v>2009</v>
      </c>
      <c r="N1086" s="82" t="s">
        <v>2276</v>
      </c>
      <c r="O1086" s="19" t="s">
        <v>67</v>
      </c>
      <c r="P1086" s="19" t="s">
        <v>5187</v>
      </c>
      <c r="Q1086" s="19" t="s">
        <v>7115</v>
      </c>
    </row>
    <row r="1087" spans="1:17" ht="39.5" customHeight="1">
      <c r="A1087" s="213">
        <v>303</v>
      </c>
      <c r="B1087" s="40" t="s">
        <v>7095</v>
      </c>
      <c r="C1087" s="19" t="s">
        <v>7132</v>
      </c>
      <c r="D1087" s="204" t="s">
        <v>2398</v>
      </c>
      <c r="E1087" s="204" t="s">
        <v>2422</v>
      </c>
      <c r="F1087" s="22" t="s">
        <v>7146</v>
      </c>
      <c r="G1087" s="204" t="s">
        <v>5533</v>
      </c>
      <c r="H1087" s="204" t="s">
        <v>4942</v>
      </c>
      <c r="I1087" s="21">
        <v>46.053994108297701</v>
      </c>
      <c r="J1087" s="21">
        <v>8.6489329923080298</v>
      </c>
      <c r="K1087" s="21">
        <v>1400</v>
      </c>
      <c r="L1087" s="204">
        <v>2005</v>
      </c>
      <c r="M1087" s="204">
        <v>2009</v>
      </c>
      <c r="N1087" s="82" t="s">
        <v>2276</v>
      </c>
      <c r="O1087" s="19" t="s">
        <v>67</v>
      </c>
      <c r="P1087" s="19" t="s">
        <v>5187</v>
      </c>
      <c r="Q1087" s="19" t="s">
        <v>7115</v>
      </c>
    </row>
    <row r="1088" spans="1:17" ht="39.5" customHeight="1">
      <c r="A1088" s="213">
        <v>303</v>
      </c>
      <c r="B1088" s="40" t="s">
        <v>7095</v>
      </c>
      <c r="C1088" s="19" t="s">
        <v>7133</v>
      </c>
      <c r="D1088" s="204" t="s">
        <v>2398</v>
      </c>
      <c r="E1088" s="204" t="s">
        <v>2422</v>
      </c>
      <c r="F1088" s="22" t="s">
        <v>7147</v>
      </c>
      <c r="G1088" s="204" t="s">
        <v>5533</v>
      </c>
      <c r="H1088" s="204" t="s">
        <v>4942</v>
      </c>
      <c r="I1088" s="21">
        <v>46.0567127888919</v>
      </c>
      <c r="J1088" s="21">
        <v>10.163238582957501</v>
      </c>
      <c r="K1088" s="21">
        <v>1800</v>
      </c>
      <c r="L1088" s="204">
        <v>2005</v>
      </c>
      <c r="M1088" s="204">
        <v>2009</v>
      </c>
      <c r="N1088" s="82" t="s">
        <v>2276</v>
      </c>
      <c r="O1088" s="19" t="s">
        <v>67</v>
      </c>
      <c r="P1088" s="19" t="s">
        <v>5187</v>
      </c>
      <c r="Q1088" s="19" t="s">
        <v>7115</v>
      </c>
    </row>
    <row r="1089" spans="1:17" ht="39.5" customHeight="1">
      <c r="A1089" s="213">
        <v>303</v>
      </c>
      <c r="B1089" s="40" t="s">
        <v>7095</v>
      </c>
      <c r="C1089" s="19" t="s">
        <v>7134</v>
      </c>
      <c r="D1089" s="204" t="s">
        <v>2398</v>
      </c>
      <c r="E1089" s="204" t="s">
        <v>2422</v>
      </c>
      <c r="F1089" s="22" t="s">
        <v>7149</v>
      </c>
      <c r="G1089" s="204" t="s">
        <v>7148</v>
      </c>
      <c r="H1089" s="204" t="s">
        <v>4942</v>
      </c>
      <c r="I1089" s="21">
        <v>43.695919295380001</v>
      </c>
      <c r="J1089" s="21">
        <v>11.3329112261598</v>
      </c>
      <c r="K1089" s="21">
        <v>300</v>
      </c>
      <c r="L1089" s="204">
        <v>2005</v>
      </c>
      <c r="M1089" s="204">
        <v>2009</v>
      </c>
      <c r="N1089" s="82" t="s">
        <v>2276</v>
      </c>
      <c r="O1089" s="19" t="s">
        <v>67</v>
      </c>
      <c r="P1089" s="19" t="s">
        <v>5187</v>
      </c>
      <c r="Q1089" s="19" t="s">
        <v>7115</v>
      </c>
    </row>
    <row r="1090" spans="1:17" ht="39.5" customHeight="1">
      <c r="A1090" s="213">
        <v>303</v>
      </c>
      <c r="B1090" s="40" t="s">
        <v>7095</v>
      </c>
      <c r="C1090" s="19" t="s">
        <v>7135</v>
      </c>
      <c r="D1090" s="204" t="s">
        <v>2398</v>
      </c>
      <c r="E1090" s="204" t="s">
        <v>2422</v>
      </c>
      <c r="F1090" s="22" t="s">
        <v>7150</v>
      </c>
      <c r="G1090" s="204" t="s">
        <v>7148</v>
      </c>
      <c r="H1090" s="204" t="s">
        <v>4942</v>
      </c>
      <c r="I1090" s="21">
        <v>42.296414171528497</v>
      </c>
      <c r="J1090" s="21">
        <v>13.5080453900122</v>
      </c>
      <c r="K1090" s="21">
        <v>4000</v>
      </c>
      <c r="L1090" s="204">
        <v>2005</v>
      </c>
      <c r="M1090" s="204">
        <v>2009</v>
      </c>
      <c r="N1090" s="82" t="s">
        <v>2276</v>
      </c>
      <c r="O1090" s="19" t="s">
        <v>67</v>
      </c>
      <c r="P1090" s="19" t="s">
        <v>5187</v>
      </c>
      <c r="Q1090" s="19" t="s">
        <v>7115</v>
      </c>
    </row>
    <row r="1091" spans="1:17" ht="39.5" customHeight="1">
      <c r="A1091" s="213">
        <v>303</v>
      </c>
      <c r="B1091" s="40" t="s">
        <v>7095</v>
      </c>
      <c r="C1091" s="19" t="s">
        <v>7136</v>
      </c>
      <c r="D1091" s="204" t="s">
        <v>2398</v>
      </c>
      <c r="E1091" s="204" t="s">
        <v>2422</v>
      </c>
      <c r="F1091" s="22" t="s">
        <v>7151</v>
      </c>
      <c r="G1091" s="204" t="s">
        <v>7148</v>
      </c>
      <c r="H1091" s="204" t="s">
        <v>4942</v>
      </c>
      <c r="I1091" s="21">
        <v>42.252270368624501</v>
      </c>
      <c r="J1091" s="21">
        <v>11.8991803749865</v>
      </c>
      <c r="K1091" s="21">
        <v>500</v>
      </c>
      <c r="L1091" s="204">
        <v>2005</v>
      </c>
      <c r="M1091" s="204">
        <v>2009</v>
      </c>
      <c r="N1091" s="82" t="s">
        <v>2276</v>
      </c>
      <c r="O1091" s="19" t="s">
        <v>67</v>
      </c>
      <c r="P1091" s="19" t="s">
        <v>5187</v>
      </c>
      <c r="Q1091" s="19" t="s">
        <v>7115</v>
      </c>
    </row>
    <row r="1092" spans="1:17" ht="39.5" customHeight="1">
      <c r="A1092" s="213">
        <v>303</v>
      </c>
      <c r="B1092" s="40" t="s">
        <v>7095</v>
      </c>
      <c r="C1092" s="19" t="s">
        <v>7137</v>
      </c>
      <c r="D1092" s="204" t="s">
        <v>2398</v>
      </c>
      <c r="E1092" s="204" t="s">
        <v>2422</v>
      </c>
      <c r="F1092" s="22" t="s">
        <v>7152</v>
      </c>
      <c r="G1092" s="204" t="s">
        <v>7156</v>
      </c>
      <c r="H1092" s="204" t="s">
        <v>4942</v>
      </c>
      <c r="I1092" s="21">
        <v>41.592197485742602</v>
      </c>
      <c r="J1092" s="21">
        <v>15.322983447961599</v>
      </c>
      <c r="K1092" s="21">
        <v>2700</v>
      </c>
      <c r="L1092" s="204">
        <v>2005</v>
      </c>
      <c r="M1092" s="204">
        <v>2009</v>
      </c>
      <c r="N1092" s="82" t="s">
        <v>2276</v>
      </c>
      <c r="O1092" s="19" t="s">
        <v>67</v>
      </c>
      <c r="P1092" s="19" t="s">
        <v>5187</v>
      </c>
      <c r="Q1092" s="19" t="s">
        <v>7115</v>
      </c>
    </row>
    <row r="1093" spans="1:17" ht="39.5" customHeight="1">
      <c r="A1093" s="213">
        <v>303</v>
      </c>
      <c r="B1093" s="40" t="s">
        <v>7095</v>
      </c>
      <c r="C1093" s="19" t="s">
        <v>7138</v>
      </c>
      <c r="D1093" s="204" t="s">
        <v>2398</v>
      </c>
      <c r="E1093" s="204" t="s">
        <v>2422</v>
      </c>
      <c r="F1093" s="22" t="s">
        <v>7153</v>
      </c>
      <c r="G1093" s="204" t="s">
        <v>7156</v>
      </c>
      <c r="H1093" s="204" t="s">
        <v>4942</v>
      </c>
      <c r="I1093" s="21">
        <v>40.451649627680801</v>
      </c>
      <c r="J1093" s="21">
        <v>15.926151719880901</v>
      </c>
      <c r="K1093" s="21">
        <v>2000</v>
      </c>
      <c r="L1093" s="204">
        <v>2005</v>
      </c>
      <c r="M1093" s="204">
        <v>2009</v>
      </c>
      <c r="N1093" s="82" t="s">
        <v>2276</v>
      </c>
      <c r="O1093" s="19" t="s">
        <v>67</v>
      </c>
      <c r="P1093" s="19" t="s">
        <v>5187</v>
      </c>
      <c r="Q1093" s="19" t="s">
        <v>7115</v>
      </c>
    </row>
    <row r="1094" spans="1:17" ht="39.5" customHeight="1">
      <c r="A1094" s="213">
        <v>303</v>
      </c>
      <c r="B1094" s="40" t="s">
        <v>7095</v>
      </c>
      <c r="C1094" s="19" t="s">
        <v>7139</v>
      </c>
      <c r="D1094" s="204" t="s">
        <v>2398</v>
      </c>
      <c r="E1094" s="204" t="s">
        <v>2422</v>
      </c>
      <c r="F1094" s="22" t="s">
        <v>7154</v>
      </c>
      <c r="G1094" s="204" t="s">
        <v>7156</v>
      </c>
      <c r="H1094" s="204" t="s">
        <v>4942</v>
      </c>
      <c r="I1094" s="21">
        <v>39.027568398980598</v>
      </c>
      <c r="J1094" s="21">
        <v>16.491825716735399</v>
      </c>
      <c r="K1094" s="21">
        <v>1000</v>
      </c>
      <c r="L1094" s="204">
        <v>2005</v>
      </c>
      <c r="M1094" s="204">
        <v>2009</v>
      </c>
      <c r="N1094" s="82" t="s">
        <v>2276</v>
      </c>
      <c r="O1094" s="19" t="s">
        <v>67</v>
      </c>
      <c r="P1094" s="19" t="s">
        <v>5187</v>
      </c>
      <c r="Q1094" s="19" t="s">
        <v>7115</v>
      </c>
    </row>
    <row r="1095" spans="1:17" ht="39.5" customHeight="1">
      <c r="A1095" s="213">
        <v>303</v>
      </c>
      <c r="B1095" s="40" t="s">
        <v>7095</v>
      </c>
      <c r="C1095" s="19" t="s">
        <v>7140</v>
      </c>
      <c r="D1095" s="204" t="s">
        <v>2398</v>
      </c>
      <c r="E1095" s="204" t="s">
        <v>2422</v>
      </c>
      <c r="F1095" s="22" t="s">
        <v>7155</v>
      </c>
      <c r="G1095" s="204" t="s">
        <v>7156</v>
      </c>
      <c r="H1095" s="204" t="s">
        <v>4942</v>
      </c>
      <c r="I1095" s="21">
        <v>37.508857539689302</v>
      </c>
      <c r="J1095" s="21">
        <v>15.0851648351648</v>
      </c>
      <c r="K1095" s="21">
        <v>1500</v>
      </c>
      <c r="L1095" s="204">
        <v>2005</v>
      </c>
      <c r="M1095" s="204">
        <v>2009</v>
      </c>
      <c r="N1095" s="82" t="s">
        <v>2276</v>
      </c>
      <c r="O1095" s="19" t="s">
        <v>67</v>
      </c>
      <c r="P1095" s="19" t="s">
        <v>5187</v>
      </c>
      <c r="Q1095" s="19" t="s">
        <v>7115</v>
      </c>
    </row>
    <row r="1096" spans="1:17" ht="39.5" customHeight="1">
      <c r="A1096" s="213">
        <v>303</v>
      </c>
      <c r="B1096" s="40" t="s">
        <v>7095</v>
      </c>
      <c r="C1096" s="19" t="s">
        <v>7141</v>
      </c>
      <c r="D1096" s="204" t="s">
        <v>2398</v>
      </c>
      <c r="E1096" s="204" t="s">
        <v>2422</v>
      </c>
      <c r="F1096" s="22" t="s">
        <v>7157</v>
      </c>
      <c r="G1096" s="204" t="s">
        <v>4941</v>
      </c>
      <c r="H1096" s="204" t="s">
        <v>4942</v>
      </c>
      <c r="I1096" s="21">
        <v>41.063880014190403</v>
      </c>
      <c r="J1096" s="21">
        <v>9.2319210841608896</v>
      </c>
      <c r="K1096" s="21">
        <v>5500</v>
      </c>
      <c r="L1096" s="204">
        <v>2005</v>
      </c>
      <c r="M1096" s="204">
        <v>2009</v>
      </c>
      <c r="N1096" s="82" t="s">
        <v>2276</v>
      </c>
      <c r="O1096" s="19" t="s">
        <v>67</v>
      </c>
      <c r="P1096" s="19" t="s">
        <v>5187</v>
      </c>
      <c r="Q1096" s="19" t="s">
        <v>7115</v>
      </c>
    </row>
    <row r="1097" spans="1:17" ht="39.5" customHeight="1">
      <c r="A1097" s="213">
        <v>303</v>
      </c>
      <c r="B1097" s="40" t="s">
        <v>7095</v>
      </c>
      <c r="C1097" s="19" t="s">
        <v>7142</v>
      </c>
      <c r="D1097" s="204" t="s">
        <v>2398</v>
      </c>
      <c r="E1097" s="204" t="s">
        <v>2422</v>
      </c>
      <c r="F1097" s="22" t="s">
        <v>7158</v>
      </c>
      <c r="G1097" s="204" t="s">
        <v>4941</v>
      </c>
      <c r="H1097" s="204" t="s">
        <v>4942</v>
      </c>
      <c r="I1097" s="21">
        <v>40.654010026409502</v>
      </c>
      <c r="J1097" s="21">
        <v>8.7077413036274898</v>
      </c>
      <c r="K1097" s="21">
        <v>4000</v>
      </c>
      <c r="L1097" s="204">
        <v>2005</v>
      </c>
      <c r="M1097" s="204">
        <v>2009</v>
      </c>
      <c r="N1097" s="82" t="s">
        <v>2276</v>
      </c>
      <c r="O1097" s="19" t="s">
        <v>67</v>
      </c>
      <c r="P1097" s="19" t="s">
        <v>5187</v>
      </c>
      <c r="Q1097" s="19" t="s">
        <v>7115</v>
      </c>
    </row>
    <row r="1098" spans="1:17" ht="39.5" customHeight="1">
      <c r="A1098" s="213">
        <v>303</v>
      </c>
      <c r="B1098" s="40" t="s">
        <v>7095</v>
      </c>
      <c r="C1098" s="19" t="s">
        <v>7143</v>
      </c>
      <c r="D1098" s="204" t="s">
        <v>2398</v>
      </c>
      <c r="E1098" s="204" t="s">
        <v>2422</v>
      </c>
      <c r="F1098" s="22" t="s">
        <v>7159</v>
      </c>
      <c r="G1098" s="204" t="s">
        <v>4941</v>
      </c>
      <c r="H1098" s="204" t="s">
        <v>4942</v>
      </c>
      <c r="I1098" s="21">
        <v>40.267469975680399</v>
      </c>
      <c r="J1098" s="21">
        <v>9.0302474336965002</v>
      </c>
      <c r="K1098" s="21">
        <v>6000</v>
      </c>
      <c r="L1098" s="204">
        <v>2005</v>
      </c>
      <c r="M1098" s="204">
        <v>2009</v>
      </c>
      <c r="N1098" s="82" t="s">
        <v>2276</v>
      </c>
      <c r="O1098" s="19" t="s">
        <v>67</v>
      </c>
      <c r="P1098" s="19" t="s">
        <v>5187</v>
      </c>
      <c r="Q1098" s="19" t="s">
        <v>7115</v>
      </c>
    </row>
    <row r="1099" spans="1:17" ht="39.5" customHeight="1">
      <c r="A1099" s="213">
        <v>303</v>
      </c>
      <c r="B1099" s="40" t="s">
        <v>7095</v>
      </c>
      <c r="C1099" s="19" t="s">
        <v>7144</v>
      </c>
      <c r="D1099" s="204" t="s">
        <v>2398</v>
      </c>
      <c r="E1099" s="204" t="s">
        <v>2422</v>
      </c>
      <c r="F1099" s="22" t="s">
        <v>7160</v>
      </c>
      <c r="G1099" s="204" t="s">
        <v>4941</v>
      </c>
      <c r="H1099" s="204" t="s">
        <v>4942</v>
      </c>
      <c r="I1099" s="21">
        <v>39.7970204936885</v>
      </c>
      <c r="J1099" s="21">
        <v>9.3422291275959708</v>
      </c>
      <c r="K1099" s="21">
        <v>3500</v>
      </c>
      <c r="L1099" s="204">
        <v>2005</v>
      </c>
      <c r="M1099" s="204">
        <v>2009</v>
      </c>
      <c r="N1099" s="82" t="s">
        <v>2276</v>
      </c>
      <c r="O1099" s="19" t="s">
        <v>67</v>
      </c>
      <c r="P1099" s="19" t="s">
        <v>5187</v>
      </c>
      <c r="Q1099" s="19" t="s">
        <v>7115</v>
      </c>
    </row>
    <row r="1100" spans="1:17" ht="38" customHeight="1">
      <c r="A1100" s="213">
        <v>303</v>
      </c>
      <c r="B1100" s="40" t="s">
        <v>7095</v>
      </c>
      <c r="C1100" s="19" t="s">
        <v>7165</v>
      </c>
      <c r="D1100" s="204" t="s">
        <v>2398</v>
      </c>
      <c r="E1100" s="204" t="s">
        <v>2422</v>
      </c>
      <c r="F1100" s="26" t="s">
        <v>7161</v>
      </c>
      <c r="G1100" s="19" t="s">
        <v>7164</v>
      </c>
      <c r="H1100" s="19" t="s">
        <v>4051</v>
      </c>
      <c r="I1100" s="21">
        <v>40.085513711450503</v>
      </c>
      <c r="J1100" s="21">
        <v>20.971935568767599</v>
      </c>
      <c r="K1100" s="21">
        <v>1900</v>
      </c>
      <c r="L1100" s="204">
        <v>2005</v>
      </c>
      <c r="M1100" s="204">
        <v>2009</v>
      </c>
      <c r="N1100" s="82" t="s">
        <v>2276</v>
      </c>
      <c r="O1100" s="19" t="s">
        <v>67</v>
      </c>
      <c r="P1100" s="19" t="s">
        <v>5187</v>
      </c>
      <c r="Q1100" s="19" t="s">
        <v>7115</v>
      </c>
    </row>
    <row r="1101" spans="1:17" ht="38" customHeight="1">
      <c r="A1101" s="213">
        <v>303</v>
      </c>
      <c r="B1101" s="40" t="s">
        <v>7095</v>
      </c>
      <c r="C1101" s="19" t="s">
        <v>7166</v>
      </c>
      <c r="D1101" s="204" t="s">
        <v>2398</v>
      </c>
      <c r="E1101" s="204" t="s">
        <v>2422</v>
      </c>
      <c r="F1101" s="26" t="s">
        <v>7162</v>
      </c>
      <c r="G1101" s="19" t="s">
        <v>7164</v>
      </c>
      <c r="H1101" s="19" t="s">
        <v>4051</v>
      </c>
      <c r="I1101" s="21">
        <v>38.659634194312801</v>
      </c>
      <c r="J1101" s="21">
        <v>22.089581260848298</v>
      </c>
      <c r="K1101" s="21">
        <v>4200</v>
      </c>
      <c r="L1101" s="204">
        <v>2005</v>
      </c>
      <c r="M1101" s="204">
        <v>2009</v>
      </c>
      <c r="N1101" s="82" t="s">
        <v>2276</v>
      </c>
      <c r="O1101" s="19" t="s">
        <v>67</v>
      </c>
      <c r="P1101" s="19" t="s">
        <v>5187</v>
      </c>
      <c r="Q1101" s="19" t="s">
        <v>7115</v>
      </c>
    </row>
    <row r="1102" spans="1:17" ht="37" customHeight="1">
      <c r="A1102" s="213">
        <v>303</v>
      </c>
      <c r="B1102" s="40" t="s">
        <v>7095</v>
      </c>
      <c r="C1102" s="19" t="s">
        <v>7167</v>
      </c>
      <c r="D1102" s="204" t="s">
        <v>2398</v>
      </c>
      <c r="E1102" s="204" t="s">
        <v>2422</v>
      </c>
      <c r="F1102" s="26" t="s">
        <v>7163</v>
      </c>
      <c r="G1102" s="19" t="s">
        <v>7164</v>
      </c>
      <c r="H1102" s="19" t="s">
        <v>4051</v>
      </c>
      <c r="I1102" s="21">
        <v>38.013518653611399</v>
      </c>
      <c r="J1102" s="21">
        <v>22.1881458257579</v>
      </c>
      <c r="K1102" s="21">
        <v>1950</v>
      </c>
      <c r="L1102" s="204">
        <v>2005</v>
      </c>
      <c r="M1102" s="204">
        <v>2009</v>
      </c>
      <c r="N1102" s="82" t="s">
        <v>2276</v>
      </c>
      <c r="O1102" s="19" t="s">
        <v>67</v>
      </c>
      <c r="P1102" s="19" t="s">
        <v>5187</v>
      </c>
      <c r="Q1102" s="19" t="s">
        <v>7115</v>
      </c>
    </row>
    <row r="1103" spans="1:17" ht="37" customHeight="1">
      <c r="A1103" s="213">
        <v>303</v>
      </c>
      <c r="B1103" s="40" t="s">
        <v>7095</v>
      </c>
      <c r="C1103" s="19" t="s">
        <v>7168</v>
      </c>
      <c r="D1103" s="204" t="s">
        <v>2398</v>
      </c>
      <c r="E1103" s="204" t="s">
        <v>2422</v>
      </c>
      <c r="F1103" s="26" t="s">
        <v>7175</v>
      </c>
      <c r="G1103" s="19" t="s">
        <v>7177</v>
      </c>
      <c r="H1103" s="19" t="s">
        <v>4051</v>
      </c>
      <c r="I1103" s="21">
        <v>41.107411606433203</v>
      </c>
      <c r="J1103" s="21">
        <v>25.991871947202799</v>
      </c>
      <c r="K1103" s="21">
        <v>2200</v>
      </c>
      <c r="L1103" s="204">
        <v>2005</v>
      </c>
      <c r="M1103" s="204">
        <v>2009</v>
      </c>
      <c r="N1103" s="82" t="s">
        <v>2276</v>
      </c>
      <c r="O1103" s="19" t="s">
        <v>67</v>
      </c>
      <c r="P1103" s="19" t="s">
        <v>5187</v>
      </c>
      <c r="Q1103" s="19" t="s">
        <v>7115</v>
      </c>
    </row>
    <row r="1104" spans="1:17" ht="37" customHeight="1">
      <c r="A1104" s="213">
        <v>303</v>
      </c>
      <c r="B1104" s="40" t="s">
        <v>7095</v>
      </c>
      <c r="C1104" s="19" t="s">
        <v>7169</v>
      </c>
      <c r="D1104" s="204" t="s">
        <v>2398</v>
      </c>
      <c r="E1104" s="204" t="s">
        <v>2422</v>
      </c>
      <c r="F1104" s="26" t="s">
        <v>7176</v>
      </c>
      <c r="G1104" s="19" t="s">
        <v>7177</v>
      </c>
      <c r="H1104" s="19" t="s">
        <v>4051</v>
      </c>
      <c r="I1104" s="21">
        <v>40.418877644649598</v>
      </c>
      <c r="J1104" s="21">
        <v>23.430402030291901</v>
      </c>
      <c r="K1104" s="21">
        <v>9100</v>
      </c>
      <c r="L1104" s="204">
        <v>2005</v>
      </c>
      <c r="M1104" s="204">
        <v>2009</v>
      </c>
      <c r="N1104" s="82" t="s">
        <v>2276</v>
      </c>
      <c r="O1104" s="19" t="s">
        <v>67</v>
      </c>
      <c r="P1104" s="19" t="s">
        <v>5187</v>
      </c>
      <c r="Q1104" s="19" t="s">
        <v>7115</v>
      </c>
    </row>
    <row r="1105" spans="1:17" ht="37" customHeight="1">
      <c r="A1105" s="213">
        <v>303</v>
      </c>
      <c r="B1105" s="40" t="s">
        <v>7095</v>
      </c>
      <c r="C1105" s="19" t="s">
        <v>7170</v>
      </c>
      <c r="D1105" s="204" t="s">
        <v>2398</v>
      </c>
      <c r="E1105" s="204" t="s">
        <v>2422</v>
      </c>
      <c r="F1105" s="26" t="s">
        <v>7178</v>
      </c>
      <c r="G1105" s="19" t="s">
        <v>7183</v>
      </c>
      <c r="H1105" s="19" t="s">
        <v>4051</v>
      </c>
      <c r="I1105" s="21">
        <v>39.4300930193764</v>
      </c>
      <c r="J1105" s="21">
        <v>20.567054172226999</v>
      </c>
      <c r="K1105" s="21">
        <v>1600</v>
      </c>
      <c r="L1105" s="204">
        <v>2005</v>
      </c>
      <c r="M1105" s="204">
        <v>2009</v>
      </c>
      <c r="N1105" s="82" t="s">
        <v>2276</v>
      </c>
      <c r="O1105" s="19" t="s">
        <v>67</v>
      </c>
      <c r="P1105" s="19" t="s">
        <v>5187</v>
      </c>
      <c r="Q1105" s="19" t="s">
        <v>7115</v>
      </c>
    </row>
    <row r="1106" spans="1:17" ht="37" customHeight="1">
      <c r="A1106" s="213">
        <v>303</v>
      </c>
      <c r="B1106" s="40" t="s">
        <v>7095</v>
      </c>
      <c r="C1106" s="19" t="s">
        <v>7171</v>
      </c>
      <c r="D1106" s="204" t="s">
        <v>2398</v>
      </c>
      <c r="E1106" s="204" t="s">
        <v>2422</v>
      </c>
      <c r="F1106" s="26" t="s">
        <v>7179</v>
      </c>
      <c r="G1106" s="19" t="s">
        <v>7183</v>
      </c>
      <c r="H1106" s="19" t="s">
        <v>4051</v>
      </c>
      <c r="I1106" s="21">
        <v>39.559435364507401</v>
      </c>
      <c r="J1106" s="21">
        <v>22.699804553495301</v>
      </c>
      <c r="K1106" s="21">
        <v>3200</v>
      </c>
      <c r="L1106" s="204">
        <v>2005</v>
      </c>
      <c r="M1106" s="204">
        <v>2009</v>
      </c>
      <c r="N1106" s="82" t="s">
        <v>2276</v>
      </c>
      <c r="O1106" s="19" t="s">
        <v>67</v>
      </c>
      <c r="P1106" s="19" t="s">
        <v>5187</v>
      </c>
      <c r="Q1106" s="19" t="s">
        <v>7115</v>
      </c>
    </row>
    <row r="1107" spans="1:17" ht="37" customHeight="1">
      <c r="A1107" s="213">
        <v>303</v>
      </c>
      <c r="B1107" s="40" t="s">
        <v>7095</v>
      </c>
      <c r="C1107" s="19" t="s">
        <v>7172</v>
      </c>
      <c r="D1107" s="204" t="s">
        <v>2398</v>
      </c>
      <c r="E1107" s="204" t="s">
        <v>2422</v>
      </c>
      <c r="F1107" s="26" t="s">
        <v>7180</v>
      </c>
      <c r="G1107" s="19" t="s">
        <v>7183</v>
      </c>
      <c r="H1107" s="19" t="s">
        <v>4051</v>
      </c>
      <c r="I1107" s="21">
        <v>36.9211155759075</v>
      </c>
      <c r="J1107" s="21">
        <v>22.7194960924956</v>
      </c>
      <c r="K1107" s="21">
        <v>2800</v>
      </c>
      <c r="L1107" s="204">
        <v>2005</v>
      </c>
      <c r="M1107" s="204">
        <v>2009</v>
      </c>
      <c r="N1107" s="82" t="s">
        <v>2276</v>
      </c>
      <c r="O1107" s="19" t="s">
        <v>67</v>
      </c>
      <c r="P1107" s="19" t="s">
        <v>5187</v>
      </c>
      <c r="Q1107" s="19" t="s">
        <v>7115</v>
      </c>
    </row>
    <row r="1108" spans="1:17" ht="37" customHeight="1">
      <c r="A1108" s="213">
        <v>303</v>
      </c>
      <c r="B1108" s="40" t="s">
        <v>7095</v>
      </c>
      <c r="C1108" s="19" t="s">
        <v>7173</v>
      </c>
      <c r="D1108" s="204" t="s">
        <v>2398</v>
      </c>
      <c r="E1108" s="204" t="s">
        <v>2422</v>
      </c>
      <c r="F1108" s="26" t="s">
        <v>7181</v>
      </c>
      <c r="G1108" s="19" t="s">
        <v>7184</v>
      </c>
      <c r="H1108" s="19" t="s">
        <v>4051</v>
      </c>
      <c r="I1108" s="21">
        <v>35.158553279364199</v>
      </c>
      <c r="J1108" s="21">
        <v>25.113693557542099</v>
      </c>
      <c r="K1108" s="21">
        <v>1850</v>
      </c>
      <c r="L1108" s="204">
        <v>2005</v>
      </c>
      <c r="M1108" s="204">
        <v>2009</v>
      </c>
      <c r="N1108" s="82" t="s">
        <v>2276</v>
      </c>
      <c r="O1108" s="19" t="s">
        <v>67</v>
      </c>
      <c r="P1108" s="19" t="s">
        <v>5187</v>
      </c>
      <c r="Q1108" s="19" t="s">
        <v>7115</v>
      </c>
    </row>
    <row r="1109" spans="1:17" ht="37" customHeight="1">
      <c r="A1109" s="213">
        <v>303</v>
      </c>
      <c r="B1109" s="40" t="s">
        <v>7095</v>
      </c>
      <c r="C1109" s="19" t="s">
        <v>7174</v>
      </c>
      <c r="D1109" s="204" t="s">
        <v>2398</v>
      </c>
      <c r="E1109" s="204" t="s">
        <v>2422</v>
      </c>
      <c r="F1109" s="26" t="s">
        <v>7182</v>
      </c>
      <c r="G1109" s="19" t="s">
        <v>2276</v>
      </c>
      <c r="H1109" s="19" t="s">
        <v>4051</v>
      </c>
      <c r="I1109" s="21">
        <v>36.2265334255857</v>
      </c>
      <c r="J1109" s="21">
        <v>27.992578827783099</v>
      </c>
      <c r="K1109" s="21">
        <v>1250</v>
      </c>
      <c r="L1109" s="204">
        <v>2005</v>
      </c>
      <c r="M1109" s="204">
        <v>2009</v>
      </c>
      <c r="N1109" s="82" t="s">
        <v>2276</v>
      </c>
      <c r="O1109" s="19" t="s">
        <v>67</v>
      </c>
      <c r="P1109" s="19" t="s">
        <v>5187</v>
      </c>
      <c r="Q1109" s="19" t="s">
        <v>7115</v>
      </c>
    </row>
    <row r="1110" spans="1:17" ht="35.5" customHeight="1">
      <c r="A1110" s="213">
        <v>304</v>
      </c>
      <c r="B1110" s="40" t="s">
        <v>7234</v>
      </c>
      <c r="C1110" s="19" t="s">
        <v>7235</v>
      </c>
      <c r="D1110" s="204" t="s">
        <v>2398</v>
      </c>
      <c r="E1110" s="204" t="s">
        <v>2636</v>
      </c>
      <c r="F1110" s="19" t="s">
        <v>2276</v>
      </c>
      <c r="G1110" s="19" t="s">
        <v>2276</v>
      </c>
      <c r="H1110" s="217" t="s">
        <v>7240</v>
      </c>
      <c r="I1110" s="21">
        <v>45</v>
      </c>
      <c r="J1110" s="21">
        <v>7</v>
      </c>
      <c r="K1110" s="21">
        <f>92212 + 505990 + 301338 + 643801</f>
        <v>1543341</v>
      </c>
      <c r="L1110" s="11">
        <v>2010</v>
      </c>
      <c r="M1110" s="11">
        <v>2010</v>
      </c>
      <c r="N1110" s="82" t="s">
        <v>2276</v>
      </c>
      <c r="O1110" s="19" t="s">
        <v>67</v>
      </c>
      <c r="P1110" s="19" t="s">
        <v>5187</v>
      </c>
      <c r="Q1110" s="204" t="s">
        <v>7241</v>
      </c>
    </row>
    <row r="1111" spans="1:17" ht="35.5" customHeight="1">
      <c r="A1111" s="213">
        <v>304</v>
      </c>
      <c r="B1111" s="40" t="s">
        <v>7234</v>
      </c>
      <c r="C1111" s="19" t="s">
        <v>7236</v>
      </c>
      <c r="D1111" s="204" t="s">
        <v>2398</v>
      </c>
      <c r="E1111" s="204"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4"/>
    </row>
    <row r="1112" spans="1:17" ht="35.5" customHeight="1">
      <c r="A1112" s="213">
        <v>304</v>
      </c>
      <c r="B1112" s="40" t="s">
        <v>7234</v>
      </c>
      <c r="C1112" s="19" t="s">
        <v>7237</v>
      </c>
      <c r="D1112" s="204" t="s">
        <v>2398</v>
      </c>
      <c r="E1112" s="204" t="s">
        <v>2636</v>
      </c>
      <c r="F1112" s="19" t="s">
        <v>2276</v>
      </c>
      <c r="G1112" s="204" t="s">
        <v>7247</v>
      </c>
      <c r="H1112" s="19" t="s">
        <v>6116</v>
      </c>
      <c r="I1112" s="21">
        <v>42.625776999999999</v>
      </c>
      <c r="J1112" s="21">
        <v>2.4497341000000001</v>
      </c>
      <c r="K1112" s="21">
        <v>4116</v>
      </c>
      <c r="L1112" s="11">
        <v>2008</v>
      </c>
      <c r="M1112" s="11">
        <v>2008</v>
      </c>
      <c r="N1112" s="82" t="s">
        <v>2276</v>
      </c>
      <c r="O1112" s="19" t="s">
        <v>67</v>
      </c>
      <c r="P1112" s="19" t="s">
        <v>5187</v>
      </c>
      <c r="Q1112" s="204" t="s">
        <v>5907</v>
      </c>
    </row>
    <row r="1113" spans="1:17" s="203" customFormat="1" ht="35.5" customHeight="1">
      <c r="A1113" s="213">
        <v>304</v>
      </c>
      <c r="B1113" s="40" t="s">
        <v>7234</v>
      </c>
      <c r="C1113" s="19" t="s">
        <v>7238</v>
      </c>
      <c r="D1113" s="204" t="s">
        <v>2398</v>
      </c>
      <c r="E1113" s="204" t="s">
        <v>2636</v>
      </c>
      <c r="F1113" s="19" t="s">
        <v>2276</v>
      </c>
      <c r="G1113" s="204" t="s">
        <v>7248</v>
      </c>
      <c r="H1113" s="19" t="s">
        <v>6116</v>
      </c>
      <c r="I1113" s="21">
        <v>43.187128000000001</v>
      </c>
      <c r="J1113" s="21">
        <v>-0.88125909999999996</v>
      </c>
      <c r="K1113" s="21">
        <v>7645</v>
      </c>
      <c r="L1113" s="11">
        <v>2008</v>
      </c>
      <c r="M1113" s="11">
        <v>2008</v>
      </c>
      <c r="N1113" s="82" t="s">
        <v>2276</v>
      </c>
      <c r="O1113" s="19" t="s">
        <v>67</v>
      </c>
      <c r="P1113" s="19" t="s">
        <v>5187</v>
      </c>
      <c r="Q1113" s="204" t="s">
        <v>5907</v>
      </c>
    </row>
    <row r="1114" spans="1:17" ht="36.5" customHeight="1">
      <c r="A1114" s="213">
        <v>304</v>
      </c>
      <c r="B1114" s="40" t="s">
        <v>7234</v>
      </c>
      <c r="C1114" s="19" t="s">
        <v>7239</v>
      </c>
      <c r="D1114" s="204" t="s">
        <v>2398</v>
      </c>
      <c r="E1114" s="204" t="s">
        <v>2636</v>
      </c>
      <c r="F1114" s="19" t="s">
        <v>2276</v>
      </c>
      <c r="G1114" s="204" t="s">
        <v>7249</v>
      </c>
      <c r="H1114" s="19" t="s">
        <v>6116</v>
      </c>
      <c r="I1114" s="21">
        <v>43.143320000000003</v>
      </c>
      <c r="J1114" s="21">
        <v>0.1594796</v>
      </c>
      <c r="K1114" s="21">
        <v>4464</v>
      </c>
      <c r="L1114" s="11">
        <v>2008</v>
      </c>
      <c r="M1114" s="11">
        <v>2008</v>
      </c>
      <c r="N1114" s="82" t="s">
        <v>2276</v>
      </c>
      <c r="O1114" s="19" t="s">
        <v>67</v>
      </c>
      <c r="P1114" s="19" t="s">
        <v>5187</v>
      </c>
      <c r="Q1114" s="204" t="s">
        <v>5907</v>
      </c>
    </row>
    <row r="1115" spans="1:17" ht="41" customHeight="1">
      <c r="A1115" s="213">
        <v>305</v>
      </c>
      <c r="B1115" s="40" t="s">
        <v>7268</v>
      </c>
      <c r="C1115" s="19" t="s">
        <v>7269</v>
      </c>
      <c r="D1115" s="204" t="s">
        <v>2633</v>
      </c>
      <c r="E1115" s="204" t="s">
        <v>4847</v>
      </c>
      <c r="F1115" s="19" t="s">
        <v>2276</v>
      </c>
      <c r="G1115" s="204" t="s">
        <v>7270</v>
      </c>
      <c r="H1115" s="19" t="s">
        <v>6116</v>
      </c>
      <c r="I1115" s="21">
        <v>48.089397499999997</v>
      </c>
      <c r="J1115" s="21">
        <v>-3.0784566</v>
      </c>
      <c r="K1115" s="21">
        <v>27208</v>
      </c>
      <c r="L1115" s="204">
        <v>2001</v>
      </c>
      <c r="M1115" s="204">
        <v>2015</v>
      </c>
      <c r="N1115" s="82" t="s">
        <v>2276</v>
      </c>
      <c r="O1115" s="19" t="s">
        <v>67</v>
      </c>
      <c r="P1115" s="19" t="s">
        <v>5187</v>
      </c>
      <c r="Q1115" s="204"/>
    </row>
    <row r="1116" spans="1:17" ht="41" customHeight="1">
      <c r="A1116" s="213">
        <v>305</v>
      </c>
      <c r="B1116" s="40" t="s">
        <v>7268</v>
      </c>
      <c r="C1116" s="19" t="s">
        <v>7282</v>
      </c>
      <c r="D1116" s="204" t="s">
        <v>2633</v>
      </c>
      <c r="E1116" s="204" t="s">
        <v>4847</v>
      </c>
      <c r="F1116" s="19" t="s">
        <v>2276</v>
      </c>
      <c r="G1116" s="11" t="s">
        <v>7271</v>
      </c>
      <c r="H1116" s="19" t="s">
        <v>6116</v>
      </c>
      <c r="I1116" s="21">
        <v>49.1259905</v>
      </c>
      <c r="J1116" s="21">
        <v>-7.5941999999999996E-2</v>
      </c>
      <c r="K1116" s="21">
        <v>29906</v>
      </c>
      <c r="L1116" s="204">
        <v>2001</v>
      </c>
      <c r="M1116" s="204">
        <v>2015</v>
      </c>
      <c r="N1116" s="82" t="s">
        <v>2276</v>
      </c>
      <c r="O1116" s="19" t="s">
        <v>67</v>
      </c>
      <c r="P1116" s="19" t="s">
        <v>5187</v>
      </c>
      <c r="Q1116" s="204"/>
    </row>
    <row r="1117" spans="1:17" ht="41" customHeight="1">
      <c r="A1117" s="213">
        <v>305</v>
      </c>
      <c r="B1117" s="40" t="s">
        <v>7268</v>
      </c>
      <c r="C1117" s="19" t="s">
        <v>7283</v>
      </c>
      <c r="D1117" s="204" t="s">
        <v>2633</v>
      </c>
      <c r="E1117" s="204" t="s">
        <v>4847</v>
      </c>
      <c r="F1117" s="19" t="s">
        <v>2276</v>
      </c>
      <c r="G1117" s="11" t="s">
        <v>7272</v>
      </c>
      <c r="H1117" s="19" t="s">
        <v>6116</v>
      </c>
      <c r="I1117" s="21">
        <v>50.529025500000003</v>
      </c>
      <c r="J1117" s="21">
        <v>2.8936380000000002</v>
      </c>
      <c r="K1117" s="21">
        <v>31813</v>
      </c>
      <c r="L1117" s="204">
        <v>2001</v>
      </c>
      <c r="M1117" s="204">
        <v>2015</v>
      </c>
      <c r="N1117" s="82" t="s">
        <v>2276</v>
      </c>
      <c r="O1117" s="19" t="s">
        <v>67</v>
      </c>
      <c r="P1117" s="19" t="s">
        <v>5187</v>
      </c>
      <c r="Q1117" s="204"/>
    </row>
    <row r="1118" spans="1:17" ht="41" customHeight="1">
      <c r="A1118" s="213">
        <v>305</v>
      </c>
      <c r="B1118" s="40" t="s">
        <v>7268</v>
      </c>
      <c r="C1118" s="19" t="s">
        <v>7284</v>
      </c>
      <c r="D1118" s="204" t="s">
        <v>2633</v>
      </c>
      <c r="E1118" s="204" t="s">
        <v>4847</v>
      </c>
      <c r="F1118" s="19" t="s">
        <v>2276</v>
      </c>
      <c r="G1118" s="11" t="s">
        <v>7273</v>
      </c>
      <c r="H1118" s="19" t="s">
        <v>6116</v>
      </c>
      <c r="I1118" s="21">
        <v>48.680792599999997</v>
      </c>
      <c r="J1118" s="21">
        <v>2.5025884999999999</v>
      </c>
      <c r="K1118" s="21">
        <v>12012</v>
      </c>
      <c r="L1118" s="204">
        <v>2001</v>
      </c>
      <c r="M1118" s="204">
        <v>2015</v>
      </c>
      <c r="N1118" s="82" t="s">
        <v>2276</v>
      </c>
      <c r="O1118" s="19" t="s">
        <v>67</v>
      </c>
      <c r="P1118" s="19" t="s">
        <v>5187</v>
      </c>
      <c r="Q1118" s="204"/>
    </row>
    <row r="1119" spans="1:17" ht="41" customHeight="1">
      <c r="A1119" s="213">
        <v>305</v>
      </c>
      <c r="B1119" s="40" t="s">
        <v>7268</v>
      </c>
      <c r="C1119" s="19" t="s">
        <v>7285</v>
      </c>
      <c r="D1119" s="204" t="s">
        <v>2633</v>
      </c>
      <c r="E1119" s="204" t="s">
        <v>4847</v>
      </c>
      <c r="F1119" s="19" t="s">
        <v>2276</v>
      </c>
      <c r="G1119" s="19" t="s">
        <v>7274</v>
      </c>
      <c r="H1119" s="19" t="s">
        <v>6116</v>
      </c>
      <c r="I1119" s="21">
        <v>48.872864</v>
      </c>
      <c r="J1119" s="21">
        <v>4.6373455000000003</v>
      </c>
      <c r="K1119" s="21">
        <v>57433</v>
      </c>
      <c r="L1119" s="204">
        <v>2001</v>
      </c>
      <c r="M1119" s="204">
        <v>2015</v>
      </c>
      <c r="N1119" s="82" t="s">
        <v>2276</v>
      </c>
      <c r="O1119" s="19" t="s">
        <v>67</v>
      </c>
      <c r="P1119" s="19" t="s">
        <v>5187</v>
      </c>
      <c r="Q1119" s="204"/>
    </row>
    <row r="1120" spans="1:17" ht="41" customHeight="1">
      <c r="A1120" s="213">
        <v>305</v>
      </c>
      <c r="B1120" s="40" t="s">
        <v>7268</v>
      </c>
      <c r="C1120" s="19" t="s">
        <v>7286</v>
      </c>
      <c r="D1120" s="204" t="s">
        <v>2633</v>
      </c>
      <c r="E1120" s="204" t="s">
        <v>4847</v>
      </c>
      <c r="F1120" s="19" t="s">
        <v>2276</v>
      </c>
      <c r="G1120" s="19" t="s">
        <v>7275</v>
      </c>
      <c r="H1120" s="19" t="s">
        <v>6116</v>
      </c>
      <c r="I1120" s="21">
        <v>47.417262000000001</v>
      </c>
      <c r="J1120" s="21">
        <v>-0.82148509999999997</v>
      </c>
      <c r="K1120" s="21">
        <v>32082</v>
      </c>
      <c r="L1120" s="204">
        <v>2001</v>
      </c>
      <c r="M1120" s="204">
        <v>2015</v>
      </c>
      <c r="N1120" s="82" t="s">
        <v>2276</v>
      </c>
      <c r="O1120" s="19" t="s">
        <v>67</v>
      </c>
      <c r="P1120" s="19" t="s">
        <v>5187</v>
      </c>
      <c r="Q1120" s="204"/>
    </row>
    <row r="1121" spans="1:17" ht="41" customHeight="1">
      <c r="A1121" s="213">
        <v>305</v>
      </c>
      <c r="B1121" s="40" t="s">
        <v>7268</v>
      </c>
      <c r="C1121" s="19" t="s">
        <v>7287</v>
      </c>
      <c r="D1121" s="204" t="s">
        <v>2633</v>
      </c>
      <c r="E1121" s="204" t="s">
        <v>4847</v>
      </c>
      <c r="F1121" s="19" t="s">
        <v>2276</v>
      </c>
      <c r="G1121" s="19" t="s">
        <v>7276</v>
      </c>
      <c r="H1121" s="19" t="s">
        <v>6116</v>
      </c>
      <c r="I1121" s="21">
        <v>47.643967500000002</v>
      </c>
      <c r="J1121" s="21">
        <v>1.5905734</v>
      </c>
      <c r="K1121" s="21">
        <v>39151</v>
      </c>
      <c r="L1121" s="204">
        <v>2001</v>
      </c>
      <c r="M1121" s="204">
        <v>2015</v>
      </c>
      <c r="N1121" s="82" t="s">
        <v>2276</v>
      </c>
      <c r="O1121" s="19" t="s">
        <v>67</v>
      </c>
      <c r="P1121" s="19" t="s">
        <v>5187</v>
      </c>
      <c r="Q1121" s="204"/>
    </row>
    <row r="1122" spans="1:17" ht="41" customHeight="1">
      <c r="A1122" s="213">
        <v>305</v>
      </c>
      <c r="B1122" s="40" t="s">
        <v>7268</v>
      </c>
      <c r="C1122" s="19" t="s">
        <v>7288</v>
      </c>
      <c r="D1122" s="204" t="s">
        <v>2633</v>
      </c>
      <c r="E1122" s="204" t="s">
        <v>4847</v>
      </c>
      <c r="F1122" s="19" t="s">
        <v>2276</v>
      </c>
      <c r="G1122" s="19" t="s">
        <v>7277</v>
      </c>
      <c r="H1122" s="19" t="s">
        <v>6116</v>
      </c>
      <c r="I1122" s="21">
        <v>47.278065499999997</v>
      </c>
      <c r="J1122" s="21">
        <v>4.9941358999999999</v>
      </c>
      <c r="K1122" s="21">
        <v>47784</v>
      </c>
      <c r="L1122" s="204">
        <v>2001</v>
      </c>
      <c r="M1122" s="204">
        <v>2015</v>
      </c>
      <c r="N1122" s="82" t="s">
        <v>2276</v>
      </c>
      <c r="O1122" s="19" t="s">
        <v>67</v>
      </c>
      <c r="P1122" s="19" t="s">
        <v>5187</v>
      </c>
      <c r="Q1122" s="204"/>
    </row>
    <row r="1123" spans="1:17" ht="41" customHeight="1">
      <c r="A1123" s="213">
        <v>305</v>
      </c>
      <c r="B1123" s="40" t="s">
        <v>7268</v>
      </c>
      <c r="C1123" s="19" t="s">
        <v>7289</v>
      </c>
      <c r="D1123" s="204" t="s">
        <v>2633</v>
      </c>
      <c r="E1123" s="204" t="s">
        <v>4847</v>
      </c>
      <c r="F1123" s="19" t="s">
        <v>2276</v>
      </c>
      <c r="G1123" s="19" t="s">
        <v>7278</v>
      </c>
      <c r="H1123" s="19" t="s">
        <v>6116</v>
      </c>
      <c r="I1123" s="21">
        <v>44.976760499999997</v>
      </c>
      <c r="J1123" s="21">
        <v>0.40948400000000001</v>
      </c>
      <c r="K1123" s="21">
        <v>84061</v>
      </c>
      <c r="L1123" s="204">
        <v>2001</v>
      </c>
      <c r="M1123" s="204">
        <v>2015</v>
      </c>
      <c r="N1123" s="82" t="s">
        <v>2276</v>
      </c>
      <c r="O1123" s="19" t="s">
        <v>67</v>
      </c>
      <c r="P1123" s="19" t="s">
        <v>5187</v>
      </c>
      <c r="Q1123" s="204"/>
    </row>
    <row r="1124" spans="1:17" ht="41" customHeight="1">
      <c r="A1124" s="213">
        <v>305</v>
      </c>
      <c r="B1124" s="40" t="s">
        <v>7268</v>
      </c>
      <c r="C1124" s="19" t="s">
        <v>7290</v>
      </c>
      <c r="D1124" s="204" t="s">
        <v>2633</v>
      </c>
      <c r="E1124" s="204" t="s">
        <v>4847</v>
      </c>
      <c r="F1124" s="19" t="s">
        <v>2276</v>
      </c>
      <c r="G1124" s="11" t="s">
        <v>7279</v>
      </c>
      <c r="H1124" s="19" t="s">
        <v>6116</v>
      </c>
      <c r="I1124" s="21">
        <v>45.459893000000001</v>
      </c>
      <c r="J1124" s="21">
        <v>4.6242241000000002</v>
      </c>
      <c r="K1124" s="21">
        <v>69711</v>
      </c>
      <c r="L1124" s="204">
        <v>2001</v>
      </c>
      <c r="M1124" s="204">
        <v>2015</v>
      </c>
      <c r="N1124" s="82" t="s">
        <v>2276</v>
      </c>
      <c r="O1124" s="19" t="s">
        <v>67</v>
      </c>
      <c r="P1124" s="19" t="s">
        <v>5187</v>
      </c>
      <c r="Q1124" s="204"/>
    </row>
    <row r="1125" spans="1:17" ht="41" customHeight="1">
      <c r="A1125" s="213">
        <v>305</v>
      </c>
      <c r="B1125" s="40" t="s">
        <v>7268</v>
      </c>
      <c r="C1125" s="19" t="s">
        <v>7291</v>
      </c>
      <c r="D1125" s="204" t="s">
        <v>2633</v>
      </c>
      <c r="E1125" s="204" t="s">
        <v>4847</v>
      </c>
      <c r="F1125" s="19" t="s">
        <v>2276</v>
      </c>
      <c r="G1125" s="19" t="s">
        <v>7280</v>
      </c>
      <c r="H1125" s="19" t="s">
        <v>6116</v>
      </c>
      <c r="I1125" s="21">
        <v>43.689849000000002</v>
      </c>
      <c r="J1125" s="21">
        <v>2.2592024999999998</v>
      </c>
      <c r="K1125" s="21">
        <v>72724</v>
      </c>
      <c r="L1125" s="204">
        <v>2001</v>
      </c>
      <c r="M1125" s="204">
        <v>2015</v>
      </c>
      <c r="N1125" s="82" t="s">
        <v>2276</v>
      </c>
      <c r="O1125" s="19" t="s">
        <v>67</v>
      </c>
      <c r="P1125" s="19" t="s">
        <v>5187</v>
      </c>
      <c r="Q1125" s="204"/>
    </row>
    <row r="1126" spans="1:17" ht="41" customHeight="1">
      <c r="A1126" s="213">
        <v>305</v>
      </c>
      <c r="B1126" s="40" t="s">
        <v>7268</v>
      </c>
      <c r="C1126" s="19" t="s">
        <v>7292</v>
      </c>
      <c r="D1126" s="204" t="s">
        <v>2633</v>
      </c>
      <c r="E1126" s="204" t="s">
        <v>4847</v>
      </c>
      <c r="F1126" s="19" t="s">
        <v>2276</v>
      </c>
      <c r="G1126" s="11" t="s">
        <v>7281</v>
      </c>
      <c r="H1126" s="19" t="s">
        <v>6116</v>
      </c>
      <c r="I1126" s="21">
        <v>44.054424599999997</v>
      </c>
      <c r="J1126" s="21">
        <v>5.9745999999999997</v>
      </c>
      <c r="K1126" s="21">
        <v>31400</v>
      </c>
      <c r="L1126" s="204">
        <v>2001</v>
      </c>
      <c r="M1126" s="204">
        <v>2015</v>
      </c>
      <c r="N1126" s="82" t="s">
        <v>2276</v>
      </c>
      <c r="O1126" s="19" t="s">
        <v>67</v>
      </c>
      <c r="P1126" s="19" t="s">
        <v>5187</v>
      </c>
      <c r="Q1126" s="204"/>
    </row>
    <row r="1127" spans="1:17" ht="41" customHeight="1">
      <c r="A1127" s="213">
        <v>305</v>
      </c>
      <c r="B1127" s="40" t="s">
        <v>7268</v>
      </c>
      <c r="C1127" s="19" t="s">
        <v>7293</v>
      </c>
      <c r="D1127" s="204" t="s">
        <v>2633</v>
      </c>
      <c r="E1127" s="204" t="s">
        <v>4847</v>
      </c>
      <c r="F1127" s="19" t="s">
        <v>2276</v>
      </c>
      <c r="G1127" s="11" t="s">
        <v>6131</v>
      </c>
      <c r="H1127" s="19" t="s">
        <v>6116</v>
      </c>
      <c r="I1127" s="21">
        <v>42.180610600000001</v>
      </c>
      <c r="J1127" s="21">
        <v>9.0473865</v>
      </c>
      <c r="K1127" s="21">
        <v>8722</v>
      </c>
      <c r="L1127" s="204">
        <v>2001</v>
      </c>
      <c r="M1127" s="204">
        <v>2015</v>
      </c>
      <c r="N1127" s="82" t="s">
        <v>2276</v>
      </c>
      <c r="O1127" s="19" t="s">
        <v>67</v>
      </c>
      <c r="P1127" s="19" t="s">
        <v>5187</v>
      </c>
      <c r="Q1127" s="204"/>
    </row>
    <row r="1128" spans="1:17" ht="41" customHeight="1">
      <c r="A1128" s="213">
        <v>305</v>
      </c>
      <c r="B1128" s="40" t="s">
        <v>7268</v>
      </c>
      <c r="C1128" s="19" t="s">
        <v>7294</v>
      </c>
      <c r="D1128" s="204" t="s">
        <v>2633</v>
      </c>
      <c r="E1128" s="204" t="s">
        <v>4847</v>
      </c>
      <c r="F1128" s="19" t="s">
        <v>2276</v>
      </c>
      <c r="G1128" s="11" t="s">
        <v>7397</v>
      </c>
      <c r="H1128" s="19" t="s">
        <v>6112</v>
      </c>
      <c r="I1128" s="21">
        <v>38.904713999999998</v>
      </c>
      <c r="J1128" s="21">
        <v>-9.2215173999999998</v>
      </c>
      <c r="K1128" s="21">
        <v>2800</v>
      </c>
      <c r="L1128" s="204">
        <v>2006</v>
      </c>
      <c r="M1128" s="204">
        <v>2015</v>
      </c>
      <c r="N1128" s="82" t="s">
        <v>2276</v>
      </c>
      <c r="O1128" s="19" t="s">
        <v>67</v>
      </c>
      <c r="P1128" s="19" t="s">
        <v>5187</v>
      </c>
      <c r="Q1128" s="204"/>
    </row>
    <row r="1129" spans="1:17" ht="24.5" customHeight="1">
      <c r="A1129" s="213">
        <v>305</v>
      </c>
      <c r="B1129" s="40" t="s">
        <v>7268</v>
      </c>
      <c r="C1129" s="19" t="s">
        <v>7380</v>
      </c>
      <c r="D1129" s="204" t="s">
        <v>2633</v>
      </c>
      <c r="E1129" s="204" t="s">
        <v>4847</v>
      </c>
      <c r="F1129" s="19" t="s">
        <v>2276</v>
      </c>
      <c r="G1129" s="11" t="s">
        <v>7398</v>
      </c>
      <c r="H1129" s="19" t="s">
        <v>6112</v>
      </c>
      <c r="I1129" s="21">
        <v>39.5852772</v>
      </c>
      <c r="J1129" s="21">
        <v>-8.8504941000000006</v>
      </c>
      <c r="K1129" s="21">
        <v>3515</v>
      </c>
      <c r="L1129" s="204">
        <v>2006</v>
      </c>
      <c r="M1129" s="204">
        <v>2015</v>
      </c>
      <c r="N1129" s="82" t="s">
        <v>2276</v>
      </c>
      <c r="O1129" s="19" t="s">
        <v>67</v>
      </c>
      <c r="P1129" s="19" t="s">
        <v>5187</v>
      </c>
      <c r="Q1129" s="204"/>
    </row>
    <row r="1130" spans="1:17" ht="24.5" customHeight="1">
      <c r="A1130" s="213">
        <v>305</v>
      </c>
      <c r="B1130" s="40" t="s">
        <v>7268</v>
      </c>
      <c r="C1130" s="19" t="s">
        <v>7381</v>
      </c>
      <c r="D1130" s="204" t="s">
        <v>2633</v>
      </c>
      <c r="E1130" s="204" t="s">
        <v>4847</v>
      </c>
      <c r="F1130" s="19" t="s">
        <v>2276</v>
      </c>
      <c r="G1130" s="11" t="s">
        <v>6064</v>
      </c>
      <c r="H1130" s="19" t="s">
        <v>6112</v>
      </c>
      <c r="I1130" s="21">
        <v>39.225619500000001</v>
      </c>
      <c r="J1130" s="21">
        <v>-8.7137516999999995</v>
      </c>
      <c r="K1130" s="21">
        <v>6747</v>
      </c>
      <c r="L1130" s="204">
        <v>2006</v>
      </c>
      <c r="M1130" s="204">
        <v>2015</v>
      </c>
      <c r="N1130" s="82" t="s">
        <v>2276</v>
      </c>
      <c r="O1130" s="19" t="s">
        <v>67</v>
      </c>
      <c r="P1130" s="19" t="s">
        <v>5187</v>
      </c>
      <c r="Q1130" s="204"/>
    </row>
    <row r="1131" spans="1:17" ht="24.5" customHeight="1">
      <c r="A1131" s="213">
        <v>305</v>
      </c>
      <c r="B1131" s="40" t="s">
        <v>7268</v>
      </c>
      <c r="C1131" s="19" t="s">
        <v>7382</v>
      </c>
      <c r="D1131" s="204" t="s">
        <v>2633</v>
      </c>
      <c r="E1131" s="204" t="s">
        <v>4847</v>
      </c>
      <c r="F1131" s="19" t="s">
        <v>2276</v>
      </c>
      <c r="G1131" s="11" t="s">
        <v>7399</v>
      </c>
      <c r="H1131" s="19" t="s">
        <v>6112</v>
      </c>
      <c r="I1131" s="21">
        <v>38.483753100000001</v>
      </c>
      <c r="J1131" s="21">
        <v>-8.9134197999999998</v>
      </c>
      <c r="K1131" s="21">
        <v>5064</v>
      </c>
      <c r="L1131" s="204">
        <v>2006</v>
      </c>
      <c r="M1131" s="204">
        <v>2015</v>
      </c>
      <c r="N1131" s="82" t="s">
        <v>2276</v>
      </c>
      <c r="O1131" s="19" t="s">
        <v>67</v>
      </c>
      <c r="P1131" s="19" t="s">
        <v>5187</v>
      </c>
      <c r="Q1131" s="204"/>
    </row>
    <row r="1132" spans="1:17" ht="24.5" customHeight="1">
      <c r="A1132" s="213">
        <v>305</v>
      </c>
      <c r="B1132" s="40" t="s">
        <v>7268</v>
      </c>
      <c r="C1132" s="19" t="s">
        <v>7383</v>
      </c>
      <c r="D1132" s="204" t="s">
        <v>2633</v>
      </c>
      <c r="E1132" s="204" t="s">
        <v>4847</v>
      </c>
      <c r="F1132" s="19" t="s">
        <v>2276</v>
      </c>
      <c r="G1132" s="11" t="s">
        <v>7400</v>
      </c>
      <c r="H1132" s="19" t="s">
        <v>6112</v>
      </c>
      <c r="I1132" s="21">
        <v>37.987447299999999</v>
      </c>
      <c r="J1132" s="21">
        <v>-7.9819201</v>
      </c>
      <c r="K1132" s="21">
        <v>10225</v>
      </c>
      <c r="L1132" s="204">
        <v>2006</v>
      </c>
      <c r="M1132" s="204">
        <v>2015</v>
      </c>
      <c r="N1132" s="82" t="s">
        <v>2276</v>
      </c>
      <c r="O1132" s="19" t="s">
        <v>67</v>
      </c>
      <c r="P1132" s="19" t="s">
        <v>5187</v>
      </c>
      <c r="Q1132" s="204"/>
    </row>
    <row r="1133" spans="1:17" ht="24.5" customHeight="1">
      <c r="A1133" s="213">
        <v>305</v>
      </c>
      <c r="B1133" s="40" t="s">
        <v>7268</v>
      </c>
      <c r="C1133" s="19" t="s">
        <v>7384</v>
      </c>
      <c r="D1133" s="204" t="s">
        <v>2633</v>
      </c>
      <c r="E1133" s="204" t="s">
        <v>4847</v>
      </c>
      <c r="F1133" s="19" t="s">
        <v>2276</v>
      </c>
      <c r="G1133" s="11" t="s">
        <v>7401</v>
      </c>
      <c r="H1133" s="19" t="s">
        <v>6112</v>
      </c>
      <c r="I1133" s="21">
        <v>37.192814900000002</v>
      </c>
      <c r="J1133" s="21">
        <v>-7.9900900000000004</v>
      </c>
      <c r="K1133" s="21">
        <v>4997</v>
      </c>
      <c r="L1133" s="204">
        <v>2006</v>
      </c>
      <c r="M1133" s="204">
        <v>2015</v>
      </c>
      <c r="N1133" s="82" t="s">
        <v>2276</v>
      </c>
      <c r="O1133" s="19" t="s">
        <v>67</v>
      </c>
      <c r="P1133" s="19" t="s">
        <v>5187</v>
      </c>
      <c r="Q1133" s="204"/>
    </row>
    <row r="1134" spans="1:17" ht="24.5" customHeight="1">
      <c r="A1134" s="213">
        <v>305</v>
      </c>
      <c r="B1134" s="40" t="s">
        <v>7268</v>
      </c>
      <c r="C1134" s="19" t="s">
        <v>7385</v>
      </c>
      <c r="D1134" s="204" t="s">
        <v>2633</v>
      </c>
      <c r="E1134" s="204" t="s">
        <v>4847</v>
      </c>
      <c r="F1134" s="19" t="s">
        <v>2276</v>
      </c>
      <c r="G1134" s="11" t="s">
        <v>7402</v>
      </c>
      <c r="H1134" s="19" t="s">
        <v>6112</v>
      </c>
      <c r="I1134" s="21">
        <v>38.4956976</v>
      </c>
      <c r="J1134" s="21">
        <v>-7.9816108999999997</v>
      </c>
      <c r="K1134" s="21">
        <v>7393</v>
      </c>
      <c r="L1134" s="204">
        <v>2006</v>
      </c>
      <c r="M1134" s="204">
        <v>2015</v>
      </c>
      <c r="N1134" s="82" t="s">
        <v>2276</v>
      </c>
      <c r="O1134" s="19" t="s">
        <v>67</v>
      </c>
      <c r="P1134" s="19" t="s">
        <v>5187</v>
      </c>
      <c r="Q1134" s="204"/>
    </row>
    <row r="1135" spans="1:17" ht="24.5" customHeight="1">
      <c r="A1135" s="213">
        <v>305</v>
      </c>
      <c r="B1135" s="40" t="s">
        <v>7268</v>
      </c>
      <c r="C1135" s="19" t="s">
        <v>7386</v>
      </c>
      <c r="D1135" s="204" t="s">
        <v>2633</v>
      </c>
      <c r="E1135" s="204" t="s">
        <v>4847</v>
      </c>
      <c r="F1135" s="19" t="s">
        <v>2276</v>
      </c>
      <c r="G1135" s="11" t="s">
        <v>7403</v>
      </c>
      <c r="H1135" s="19" t="s">
        <v>6112</v>
      </c>
      <c r="I1135" s="21">
        <v>39.248371200000001</v>
      </c>
      <c r="J1135" s="21">
        <v>-7.4527700000000001</v>
      </c>
      <c r="K1135" s="21">
        <v>6065</v>
      </c>
      <c r="L1135" s="204">
        <v>2006</v>
      </c>
      <c r="M1135" s="204">
        <v>2015</v>
      </c>
      <c r="N1135" s="82" t="s">
        <v>2276</v>
      </c>
      <c r="O1135" s="19" t="s">
        <v>67</v>
      </c>
      <c r="P1135" s="19" t="s">
        <v>5187</v>
      </c>
      <c r="Q1135" s="204"/>
    </row>
    <row r="1136" spans="1:17" ht="24.5" customHeight="1">
      <c r="A1136" s="213">
        <v>305</v>
      </c>
      <c r="B1136" s="40" t="s">
        <v>7268</v>
      </c>
      <c r="C1136" s="19" t="s">
        <v>7387</v>
      </c>
      <c r="D1136" s="204" t="s">
        <v>2633</v>
      </c>
      <c r="E1136" s="204" t="s">
        <v>4847</v>
      </c>
      <c r="F1136" s="19" t="s">
        <v>2276</v>
      </c>
      <c r="G1136" s="11" t="s">
        <v>7404</v>
      </c>
      <c r="H1136" s="19" t="s">
        <v>6112</v>
      </c>
      <c r="I1136" s="21">
        <v>39.775269299999998</v>
      </c>
      <c r="J1136" s="21">
        <v>-7.5083846999999997</v>
      </c>
      <c r="K1136" s="21">
        <v>6675</v>
      </c>
      <c r="L1136" s="204">
        <v>2006</v>
      </c>
      <c r="M1136" s="204">
        <v>2015</v>
      </c>
      <c r="N1136" s="82" t="s">
        <v>2276</v>
      </c>
      <c r="O1136" s="19" t="s">
        <v>67</v>
      </c>
      <c r="P1136" s="19" t="s">
        <v>5187</v>
      </c>
      <c r="Q1136" s="204"/>
    </row>
    <row r="1137" spans="1:19" ht="24.5" customHeight="1">
      <c r="A1137" s="213">
        <v>305</v>
      </c>
      <c r="B1137" s="40" t="s">
        <v>7268</v>
      </c>
      <c r="C1137" s="19" t="s">
        <v>7388</v>
      </c>
      <c r="D1137" s="204" t="s">
        <v>2633</v>
      </c>
      <c r="E1137" s="204" t="s">
        <v>4847</v>
      </c>
      <c r="F1137" s="19" t="s">
        <v>2276</v>
      </c>
      <c r="G1137" s="11" t="s">
        <v>7405</v>
      </c>
      <c r="H1137" s="19" t="s">
        <v>6112</v>
      </c>
      <c r="I1137" s="21">
        <v>40.504301400000003</v>
      </c>
      <c r="J1137" s="21">
        <v>-7.2940021000000002</v>
      </c>
      <c r="K1137" s="21">
        <v>5518</v>
      </c>
      <c r="L1137" s="204">
        <v>2006</v>
      </c>
      <c r="M1137" s="204">
        <v>2015</v>
      </c>
      <c r="N1137" s="82" t="s">
        <v>2276</v>
      </c>
      <c r="O1137" s="19" t="s">
        <v>67</v>
      </c>
      <c r="P1137" s="19" t="s">
        <v>5187</v>
      </c>
      <c r="Q1137" s="204"/>
    </row>
    <row r="1138" spans="1:19" ht="24.5" customHeight="1">
      <c r="A1138" s="213">
        <v>305</v>
      </c>
      <c r="B1138" s="40" t="s">
        <v>7268</v>
      </c>
      <c r="C1138" s="19" t="s">
        <v>7389</v>
      </c>
      <c r="D1138" s="204" t="s">
        <v>2633</v>
      </c>
      <c r="E1138" s="204" t="s">
        <v>4847</v>
      </c>
      <c r="F1138" s="19" t="s">
        <v>2276</v>
      </c>
      <c r="G1138" s="11" t="s">
        <v>7406</v>
      </c>
      <c r="H1138" s="19" t="s">
        <v>6112</v>
      </c>
      <c r="I1138" s="21">
        <v>40.205450800000001</v>
      </c>
      <c r="J1138" s="21">
        <v>-8.3994599999999995</v>
      </c>
      <c r="K1138" s="21">
        <v>3947</v>
      </c>
      <c r="L1138" s="204">
        <v>2006</v>
      </c>
      <c r="M1138" s="204">
        <v>2015</v>
      </c>
      <c r="N1138" s="82" t="s">
        <v>2276</v>
      </c>
      <c r="O1138" s="19" t="s">
        <v>67</v>
      </c>
      <c r="P1138" s="19" t="s">
        <v>5187</v>
      </c>
      <c r="Q1138" s="204"/>
    </row>
    <row r="1139" spans="1:19" ht="24.5" customHeight="1">
      <c r="A1139" s="213">
        <v>305</v>
      </c>
      <c r="B1139" s="40" t="s">
        <v>7268</v>
      </c>
      <c r="C1139" s="19" t="s">
        <v>7390</v>
      </c>
      <c r="D1139" s="204" t="s">
        <v>2633</v>
      </c>
      <c r="E1139" s="204" t="s">
        <v>4847</v>
      </c>
      <c r="F1139" s="19" t="s">
        <v>2276</v>
      </c>
      <c r="G1139" s="11" t="s">
        <v>7407</v>
      </c>
      <c r="H1139" s="19" t="s">
        <v>6112</v>
      </c>
      <c r="I1139" s="21">
        <v>40.604104200000002</v>
      </c>
      <c r="J1139" s="21">
        <v>-8.6561692000000008</v>
      </c>
      <c r="K1139" s="21">
        <v>2808</v>
      </c>
      <c r="L1139" s="204">
        <v>2006</v>
      </c>
      <c r="M1139" s="204">
        <v>2015</v>
      </c>
      <c r="N1139" s="82" t="s">
        <v>2276</v>
      </c>
      <c r="O1139" s="19" t="s">
        <v>67</v>
      </c>
      <c r="P1139" s="19" t="s">
        <v>5187</v>
      </c>
      <c r="Q1139" s="204"/>
    </row>
    <row r="1140" spans="1:19" ht="24.5" customHeight="1">
      <c r="A1140" s="213">
        <v>305</v>
      </c>
      <c r="B1140" s="40" t="s">
        <v>7268</v>
      </c>
      <c r="C1140" s="19" t="s">
        <v>7391</v>
      </c>
      <c r="D1140" s="204" t="s">
        <v>2633</v>
      </c>
      <c r="E1140" s="204" t="s">
        <v>4847</v>
      </c>
      <c r="F1140" s="19" t="s">
        <v>2276</v>
      </c>
      <c r="G1140" s="11" t="s">
        <v>7408</v>
      </c>
      <c r="H1140" s="19" t="s">
        <v>6112</v>
      </c>
      <c r="I1140" s="21">
        <v>40.722348599999997</v>
      </c>
      <c r="J1140" s="21">
        <v>-7.9160269000000003</v>
      </c>
      <c r="K1140" s="21">
        <v>5007</v>
      </c>
      <c r="L1140" s="204">
        <v>2006</v>
      </c>
      <c r="M1140" s="204">
        <v>2015</v>
      </c>
      <c r="N1140" s="82" t="s">
        <v>2276</v>
      </c>
      <c r="O1140" s="19" t="s">
        <v>67</v>
      </c>
      <c r="P1140" s="19" t="s">
        <v>5187</v>
      </c>
      <c r="Q1140" s="204"/>
    </row>
    <row r="1141" spans="1:19" ht="24.5" customHeight="1">
      <c r="A1141" s="213">
        <v>305</v>
      </c>
      <c r="B1141" s="40" t="s">
        <v>7268</v>
      </c>
      <c r="C1141" s="19" t="s">
        <v>7392</v>
      </c>
      <c r="D1141" s="204" t="s">
        <v>2633</v>
      </c>
      <c r="E1141" s="204" t="s">
        <v>4847</v>
      </c>
      <c r="F1141" s="19" t="s">
        <v>2276</v>
      </c>
      <c r="G1141" s="11" t="s">
        <v>7409</v>
      </c>
      <c r="H1141" s="19" t="s">
        <v>6112</v>
      </c>
      <c r="I1141" s="21">
        <v>41.803516199999997</v>
      </c>
      <c r="J1141" s="21">
        <v>-6.7776588000000002</v>
      </c>
      <c r="K1141" s="21">
        <v>1174</v>
      </c>
      <c r="L1141" s="204">
        <v>2006</v>
      </c>
      <c r="M1141" s="204">
        <v>2015</v>
      </c>
      <c r="N1141" s="82" t="s">
        <v>2276</v>
      </c>
      <c r="O1141" s="19" t="s">
        <v>67</v>
      </c>
      <c r="P1141" s="19" t="s">
        <v>5187</v>
      </c>
      <c r="Q1141" s="204"/>
    </row>
    <row r="1142" spans="1:19" ht="24.5" customHeight="1">
      <c r="A1142" s="213">
        <v>305</v>
      </c>
      <c r="B1142" s="40" t="s">
        <v>7268</v>
      </c>
      <c r="C1142" s="19" t="s">
        <v>7393</v>
      </c>
      <c r="D1142" s="204" t="s">
        <v>2633</v>
      </c>
      <c r="E1142" s="204" t="s">
        <v>4847</v>
      </c>
      <c r="F1142" s="19" t="s">
        <v>2276</v>
      </c>
      <c r="G1142" s="11" t="s">
        <v>7410</v>
      </c>
      <c r="H1142" s="19" t="s">
        <v>6112</v>
      </c>
      <c r="I1142" s="21">
        <v>41.285986999999999</v>
      </c>
      <c r="J1142" s="21">
        <v>-7.7582407</v>
      </c>
      <c r="K1142" s="21">
        <v>4328</v>
      </c>
      <c r="L1142" s="204">
        <v>2006</v>
      </c>
      <c r="M1142" s="204">
        <v>2015</v>
      </c>
      <c r="N1142" s="82" t="s">
        <v>2276</v>
      </c>
      <c r="O1142" s="19" t="s">
        <v>67</v>
      </c>
      <c r="P1142" s="19" t="s">
        <v>5187</v>
      </c>
      <c r="Q1142" s="204"/>
    </row>
    <row r="1143" spans="1:19" ht="24.5" customHeight="1">
      <c r="A1143" s="213">
        <v>305</v>
      </c>
      <c r="B1143" s="40" t="s">
        <v>7268</v>
      </c>
      <c r="C1143" s="19" t="s">
        <v>7394</v>
      </c>
      <c r="D1143" s="204" t="s">
        <v>2633</v>
      </c>
      <c r="E1143" s="204" t="s">
        <v>4847</v>
      </c>
      <c r="F1143" s="19" t="s">
        <v>2276</v>
      </c>
      <c r="G1143" s="11" t="s">
        <v>7411</v>
      </c>
      <c r="H1143" s="19" t="s">
        <v>6112</v>
      </c>
      <c r="I1143" s="21">
        <v>41.119094799999999</v>
      </c>
      <c r="J1143" s="21">
        <v>-8.6013084000000006</v>
      </c>
      <c r="K1143" s="21">
        <v>2395</v>
      </c>
      <c r="L1143" s="204">
        <v>2006</v>
      </c>
      <c r="M1143" s="204">
        <v>2015</v>
      </c>
      <c r="N1143" s="82" t="s">
        <v>2276</v>
      </c>
      <c r="O1143" s="19" t="s">
        <v>67</v>
      </c>
      <c r="P1143" s="19" t="s">
        <v>5187</v>
      </c>
      <c r="Q1143" s="204"/>
      <c r="R1143" s="122"/>
      <c r="S1143" s="122"/>
    </row>
    <row r="1144" spans="1:19" ht="24.5" customHeight="1">
      <c r="A1144" s="213">
        <v>305</v>
      </c>
      <c r="B1144" s="40" t="s">
        <v>7268</v>
      </c>
      <c r="C1144" s="19" t="s">
        <v>7395</v>
      </c>
      <c r="D1144" s="204" t="s">
        <v>2633</v>
      </c>
      <c r="E1144" s="204" t="s">
        <v>4847</v>
      </c>
      <c r="F1144" s="19" t="s">
        <v>2276</v>
      </c>
      <c r="G1144" s="11" t="s">
        <v>7413</v>
      </c>
      <c r="H1144" s="19" t="s">
        <v>6112</v>
      </c>
      <c r="I1144" s="21">
        <v>41.482525099999997</v>
      </c>
      <c r="J1144" s="21">
        <v>-8.4239523999999992</v>
      </c>
      <c r="K1144" s="21">
        <v>2673</v>
      </c>
      <c r="L1144" s="204">
        <v>2006</v>
      </c>
      <c r="M1144" s="204">
        <v>2015</v>
      </c>
      <c r="N1144" s="82" t="s">
        <v>2276</v>
      </c>
      <c r="O1144" s="19" t="s">
        <v>67</v>
      </c>
      <c r="P1144" s="19" t="s">
        <v>5187</v>
      </c>
      <c r="Q1144" s="204"/>
      <c r="R1144" s="122"/>
      <c r="S1144" s="122"/>
    </row>
    <row r="1145" spans="1:19" ht="29" customHeight="1">
      <c r="A1145" s="213">
        <v>305</v>
      </c>
      <c r="B1145" s="40" t="s">
        <v>7268</v>
      </c>
      <c r="C1145" s="19" t="s">
        <v>7396</v>
      </c>
      <c r="D1145" s="204" t="s">
        <v>2633</v>
      </c>
      <c r="E1145" s="204" t="s">
        <v>4847</v>
      </c>
      <c r="F1145" s="19" t="s">
        <v>2276</v>
      </c>
      <c r="G1145" s="11" t="s">
        <v>7412</v>
      </c>
      <c r="H1145" s="19" t="s">
        <v>6112</v>
      </c>
      <c r="I1145" s="21">
        <v>41.6912345</v>
      </c>
      <c r="J1145" s="21">
        <v>-8.8434313000000007</v>
      </c>
      <c r="K1145" s="21">
        <v>2255</v>
      </c>
      <c r="L1145" s="204">
        <v>2006</v>
      </c>
      <c r="M1145" s="204">
        <v>2015</v>
      </c>
      <c r="N1145" s="82" t="s">
        <v>2276</v>
      </c>
      <c r="O1145" s="19" t="s">
        <v>67</v>
      </c>
      <c r="P1145" s="19" t="s">
        <v>5187</v>
      </c>
      <c r="Q1145" s="204"/>
      <c r="R1145" s="122"/>
      <c r="S1145" s="122"/>
    </row>
    <row r="1146" spans="1:19" ht="30" customHeight="1">
      <c r="A1146" s="213">
        <v>305</v>
      </c>
      <c r="B1146" s="40" t="s">
        <v>7268</v>
      </c>
      <c r="C1146" s="19" t="s">
        <v>7595</v>
      </c>
      <c r="D1146" s="204" t="s">
        <v>2633</v>
      </c>
      <c r="E1146" s="204"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4"/>
      <c r="R1146" s="122"/>
      <c r="S1146" s="122"/>
    </row>
    <row r="1147" spans="1:19" ht="32.5" customHeight="1">
      <c r="A1147" s="213">
        <v>305</v>
      </c>
      <c r="B1147" s="40" t="s">
        <v>7268</v>
      </c>
      <c r="C1147" s="19" t="s">
        <v>7617</v>
      </c>
      <c r="D1147" s="204" t="s">
        <v>2633</v>
      </c>
      <c r="E1147" s="204"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4" t="s">
        <v>7614</v>
      </c>
      <c r="R1147" s="122"/>
      <c r="S1147" s="122"/>
    </row>
    <row r="1148" spans="1:19" ht="27" customHeight="1">
      <c r="A1148" s="213">
        <v>305</v>
      </c>
      <c r="B1148" s="40" t="s">
        <v>7268</v>
      </c>
      <c r="C1148" s="19" t="s">
        <v>7620</v>
      </c>
      <c r="D1148" s="204" t="s">
        <v>2633</v>
      </c>
      <c r="E1148" s="204"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4"/>
      <c r="R1148" s="122"/>
      <c r="S1148" s="122"/>
    </row>
    <row r="1149" spans="1:19" ht="34.5" customHeight="1">
      <c r="A1149" s="213">
        <v>305</v>
      </c>
      <c r="B1149" s="40" t="s">
        <v>7268</v>
      </c>
      <c r="C1149" s="19" t="s">
        <v>7621</v>
      </c>
      <c r="D1149" s="204" t="s">
        <v>2633</v>
      </c>
      <c r="E1149" s="204"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7625</v>
      </c>
      <c r="R1149" s="122"/>
      <c r="S1149" s="122"/>
    </row>
    <row r="1150" spans="1:19" ht="43.5" customHeight="1">
      <c r="A1150" s="219">
        <v>306</v>
      </c>
      <c r="B1150" s="54" t="s">
        <v>7643</v>
      </c>
      <c r="C1150" s="55" t="s">
        <v>7644</v>
      </c>
      <c r="D1150" s="38" t="s">
        <v>2398</v>
      </c>
      <c r="E1150" s="38" t="s">
        <v>4847</v>
      </c>
      <c r="F1150" s="55" t="s">
        <v>2276</v>
      </c>
      <c r="G1150" s="55" t="s">
        <v>7778</v>
      </c>
      <c r="H1150" s="151" t="s">
        <v>4112</v>
      </c>
      <c r="I1150" s="21">
        <f>AVERAGE(I1151:I1217)</f>
        <v>39.367126656542631</v>
      </c>
      <c r="J1150" s="21">
        <f>AVERAGE(J1151:J1217)</f>
        <v>-99.183510622322359</v>
      </c>
      <c r="K1150" s="21">
        <v>76639417</v>
      </c>
      <c r="L1150" s="204">
        <v>1999</v>
      </c>
      <c r="M1150" s="204">
        <v>2012</v>
      </c>
      <c r="N1150" s="220" t="s">
        <v>2276</v>
      </c>
      <c r="O1150" s="55" t="s">
        <v>67</v>
      </c>
      <c r="P1150" s="55" t="s">
        <v>5187</v>
      </c>
      <c r="Q1150" s="168" t="s">
        <v>7776</v>
      </c>
      <c r="R1150" s="122"/>
      <c r="S1150" s="122"/>
    </row>
    <row r="1151" spans="1:19" ht="33.5" customHeight="1">
      <c r="A1151" s="213">
        <v>306</v>
      </c>
      <c r="B1151" s="40" t="s">
        <v>7643</v>
      </c>
      <c r="C1151" s="19" t="s">
        <v>7645</v>
      </c>
      <c r="D1151" s="204" t="s">
        <v>2398</v>
      </c>
      <c r="E1151" s="204" t="s">
        <v>4847</v>
      </c>
      <c r="F1151" s="55" t="s">
        <v>2276</v>
      </c>
      <c r="G1151" s="4" t="s">
        <v>7694</v>
      </c>
      <c r="H1151" s="49" t="s">
        <v>4112</v>
      </c>
      <c r="I1151" s="21">
        <v>47.7869335358087</v>
      </c>
      <c r="J1151" s="21">
        <v>-122.285198413692</v>
      </c>
      <c r="K1151" s="177">
        <f>38582*2.59</f>
        <v>99927.37999999999</v>
      </c>
      <c r="L1151" s="204">
        <v>1999</v>
      </c>
      <c r="M1151" s="204">
        <v>2012</v>
      </c>
      <c r="N1151" s="82" t="s">
        <v>2276</v>
      </c>
      <c r="O1151" s="19" t="s">
        <v>67</v>
      </c>
      <c r="P1151" s="19" t="s">
        <v>5187</v>
      </c>
      <c r="Q1151" s="204"/>
      <c r="R1151" s="122"/>
      <c r="S1151" s="122"/>
    </row>
    <row r="1152" spans="1:19" ht="33.5" customHeight="1">
      <c r="A1152" s="213">
        <v>306</v>
      </c>
      <c r="B1152" s="40" t="s">
        <v>7643</v>
      </c>
      <c r="C1152" s="19" t="s">
        <v>7646</v>
      </c>
      <c r="D1152" s="204" t="s">
        <v>2398</v>
      </c>
      <c r="E1152" s="204" t="s">
        <v>4847</v>
      </c>
      <c r="F1152" s="55" t="s">
        <v>2276</v>
      </c>
      <c r="G1152" s="4" t="s">
        <v>7695</v>
      </c>
      <c r="H1152" s="49" t="s">
        <v>4112</v>
      </c>
      <c r="I1152" s="21">
        <v>44.397995621549498</v>
      </c>
      <c r="J1152" s="21">
        <v>-123.641350034013</v>
      </c>
      <c r="K1152" s="177">
        <f>19272*2.59</f>
        <v>49914.479999999996</v>
      </c>
      <c r="L1152" s="204">
        <v>1999</v>
      </c>
      <c r="M1152" s="204">
        <v>2012</v>
      </c>
      <c r="N1152" s="82" t="s">
        <v>2276</v>
      </c>
      <c r="O1152" s="19" t="s">
        <v>67</v>
      </c>
      <c r="P1152" s="19" t="s">
        <v>5187</v>
      </c>
      <c r="Q1152" s="204"/>
    </row>
    <row r="1153" spans="1:17" ht="33.5" customHeight="1">
      <c r="A1153" s="213">
        <v>306</v>
      </c>
      <c r="B1153" s="40" t="s">
        <v>7643</v>
      </c>
      <c r="C1153" s="19" t="s">
        <v>7647</v>
      </c>
      <c r="D1153" s="204" t="s">
        <v>2398</v>
      </c>
      <c r="E1153" s="204" t="s">
        <v>4847</v>
      </c>
      <c r="F1153" s="55" t="s">
        <v>2276</v>
      </c>
      <c r="G1153" s="4" t="s">
        <v>7696</v>
      </c>
      <c r="H1153" s="49" t="s">
        <v>4112</v>
      </c>
      <c r="I1153" s="21">
        <v>40.502439589961597</v>
      </c>
      <c r="J1153" s="21">
        <v>-123.605461937556</v>
      </c>
      <c r="K1153" s="177">
        <f>22017*2.59</f>
        <v>57024.03</v>
      </c>
      <c r="L1153" s="204">
        <v>1999</v>
      </c>
      <c r="M1153" s="204">
        <v>2012</v>
      </c>
      <c r="N1153" s="82" t="s">
        <v>2276</v>
      </c>
      <c r="O1153" s="19" t="s">
        <v>67</v>
      </c>
      <c r="P1153" s="19" t="s">
        <v>5187</v>
      </c>
      <c r="Q1153" s="204"/>
    </row>
    <row r="1154" spans="1:17" ht="33.5" customHeight="1">
      <c r="A1154" s="213">
        <v>306</v>
      </c>
      <c r="B1154" s="40" t="s">
        <v>7643</v>
      </c>
      <c r="C1154" s="19" t="s">
        <v>7648</v>
      </c>
      <c r="D1154" s="204" t="s">
        <v>2398</v>
      </c>
      <c r="E1154" s="204" t="s">
        <v>4847</v>
      </c>
      <c r="F1154" s="55" t="s">
        <v>2276</v>
      </c>
      <c r="G1154" s="4" t="s">
        <v>7697</v>
      </c>
      <c r="H1154" s="49" t="s">
        <v>4112</v>
      </c>
      <c r="I1154" s="21">
        <v>35.639111938700403</v>
      </c>
      <c r="J1154" s="21">
        <v>-120.645239735288</v>
      </c>
      <c r="K1154" s="177">
        <f>37534*2.59</f>
        <v>97213.06</v>
      </c>
      <c r="L1154" s="204">
        <v>1999</v>
      </c>
      <c r="M1154" s="204">
        <v>2012</v>
      </c>
      <c r="N1154" s="82" t="s">
        <v>2276</v>
      </c>
      <c r="O1154" s="19" t="s">
        <v>67</v>
      </c>
      <c r="P1154" s="19" t="s">
        <v>5187</v>
      </c>
      <c r="Q1154" s="204"/>
    </row>
    <row r="1155" spans="1:17" ht="33.5" customHeight="1">
      <c r="A1155" s="213">
        <v>306</v>
      </c>
      <c r="B1155" s="40" t="s">
        <v>7643</v>
      </c>
      <c r="C1155" s="19" t="s">
        <v>7649</v>
      </c>
      <c r="D1155" s="204" t="s">
        <v>2398</v>
      </c>
      <c r="E1155" s="204" t="s">
        <v>4847</v>
      </c>
      <c r="F1155" s="55" t="s">
        <v>2276</v>
      </c>
      <c r="G1155" s="4" t="s">
        <v>7698</v>
      </c>
      <c r="H1155" s="49" t="s">
        <v>4112</v>
      </c>
      <c r="I1155" s="21">
        <v>38.065074395604398</v>
      </c>
      <c r="J1155" s="21">
        <v>-121.371517705549</v>
      </c>
      <c r="K1155" s="177">
        <f>21578*2.59</f>
        <v>55887.02</v>
      </c>
      <c r="L1155" s="204">
        <v>1999</v>
      </c>
      <c r="M1155" s="204">
        <v>2012</v>
      </c>
      <c r="N1155" s="82" t="s">
        <v>2276</v>
      </c>
      <c r="O1155" s="19" t="s">
        <v>67</v>
      </c>
      <c r="P1155" s="19" t="s">
        <v>5187</v>
      </c>
      <c r="Q1155" s="204"/>
    </row>
    <row r="1156" spans="1:17" ht="33.5" customHeight="1">
      <c r="A1156" s="213">
        <v>306</v>
      </c>
      <c r="B1156" s="40" t="s">
        <v>7643</v>
      </c>
      <c r="C1156" s="19" t="s">
        <v>7650</v>
      </c>
      <c r="D1156" s="204" t="s">
        <v>2398</v>
      </c>
      <c r="E1156" s="204" t="s">
        <v>4847</v>
      </c>
      <c r="F1156" s="55" t="s">
        <v>2276</v>
      </c>
      <c r="G1156" s="4" t="s">
        <v>7699</v>
      </c>
      <c r="H1156" s="49" t="s">
        <v>4112</v>
      </c>
      <c r="I1156" s="21">
        <v>38.108652343767197</v>
      </c>
      <c r="J1156" s="21">
        <v>-119.651464632684</v>
      </c>
      <c r="K1156" s="177">
        <f>31844*2.59</f>
        <v>82475.959999999992</v>
      </c>
      <c r="L1156" s="204">
        <v>1999</v>
      </c>
      <c r="M1156" s="204">
        <v>2012</v>
      </c>
      <c r="N1156" s="82" t="s">
        <v>2276</v>
      </c>
      <c r="O1156" s="19" t="s">
        <v>67</v>
      </c>
      <c r="P1156" s="19" t="s">
        <v>5187</v>
      </c>
      <c r="Q1156" s="204"/>
    </row>
    <row r="1157" spans="1:17" ht="33.5" customHeight="1">
      <c r="A1157" s="213">
        <v>306</v>
      </c>
      <c r="B1157" s="40" t="s">
        <v>7643</v>
      </c>
      <c r="C1157" s="19" t="s">
        <v>7651</v>
      </c>
      <c r="D1157" s="204" t="s">
        <v>2398</v>
      </c>
      <c r="E1157" s="204" t="s">
        <v>4847</v>
      </c>
      <c r="F1157" s="55" t="s">
        <v>2276</v>
      </c>
      <c r="G1157" s="4" t="s">
        <v>7700</v>
      </c>
      <c r="H1157" s="49" t="s">
        <v>4112</v>
      </c>
      <c r="I1157" s="21">
        <v>42.580196486606901</v>
      </c>
      <c r="J1157" s="21">
        <v>-121.091545963549</v>
      </c>
      <c r="K1157" s="177">
        <f>36273*2.59</f>
        <v>93947.069999999992</v>
      </c>
      <c r="L1157" s="204">
        <v>1999</v>
      </c>
      <c r="M1157" s="204">
        <v>2012</v>
      </c>
      <c r="N1157" s="82" t="s">
        <v>2276</v>
      </c>
      <c r="O1157" s="19" t="s">
        <v>67</v>
      </c>
      <c r="P1157" s="19" t="s">
        <v>5187</v>
      </c>
      <c r="Q1157" s="204"/>
    </row>
    <row r="1158" spans="1:17" ht="33.5" customHeight="1">
      <c r="A1158" s="213">
        <v>306</v>
      </c>
      <c r="B1158" s="40" t="s">
        <v>7643</v>
      </c>
      <c r="C1158" s="19" t="s">
        <v>7652</v>
      </c>
      <c r="D1158" s="204" t="s">
        <v>2398</v>
      </c>
      <c r="E1158" s="204" t="s">
        <v>4847</v>
      </c>
      <c r="F1158" s="55" t="s">
        <v>2276</v>
      </c>
      <c r="G1158" s="4" t="s">
        <v>7701</v>
      </c>
      <c r="H1158" s="49" t="s">
        <v>4112</v>
      </c>
      <c r="I1158" s="21">
        <v>47.137212913483502</v>
      </c>
      <c r="J1158" s="21">
        <v>-119.12339678678801</v>
      </c>
      <c r="K1158" s="177">
        <f>29672*2.59</f>
        <v>76850.48</v>
      </c>
      <c r="L1158" s="204">
        <v>1999</v>
      </c>
      <c r="M1158" s="204">
        <v>2012</v>
      </c>
      <c r="N1158" s="82" t="s">
        <v>2276</v>
      </c>
      <c r="O1158" s="19" t="s">
        <v>67</v>
      </c>
      <c r="P1158" s="19" t="s">
        <v>5187</v>
      </c>
      <c r="Q1158" s="204"/>
    </row>
    <row r="1159" spans="1:17" ht="33.5" customHeight="1">
      <c r="A1159" s="213">
        <v>306</v>
      </c>
      <c r="B1159" s="40" t="s">
        <v>7643</v>
      </c>
      <c r="C1159" s="19" t="s">
        <v>7653</v>
      </c>
      <c r="D1159" s="204" t="s">
        <v>2398</v>
      </c>
      <c r="E1159" s="204" t="s">
        <v>4847</v>
      </c>
      <c r="F1159" s="55" t="s">
        <v>2276</v>
      </c>
      <c r="G1159" s="4" t="s">
        <v>7702</v>
      </c>
      <c r="H1159" s="49" t="s">
        <v>4112</v>
      </c>
      <c r="I1159" s="21">
        <v>43.131390572728598</v>
      </c>
      <c r="J1159" s="21">
        <v>-119.101839947522</v>
      </c>
      <c r="K1159" s="177">
        <f>56521*2.59</f>
        <v>146389.38999999998</v>
      </c>
      <c r="L1159" s="204">
        <v>1999</v>
      </c>
      <c r="M1159" s="204">
        <v>2012</v>
      </c>
      <c r="N1159" s="82" t="s">
        <v>2276</v>
      </c>
      <c r="O1159" s="19" t="s">
        <v>67</v>
      </c>
      <c r="P1159" s="19" t="s">
        <v>5187</v>
      </c>
      <c r="Q1159" s="204"/>
    </row>
    <row r="1160" spans="1:17" ht="33.5" customHeight="1">
      <c r="A1160" s="213">
        <v>306</v>
      </c>
      <c r="B1160" s="40" t="s">
        <v>7643</v>
      </c>
      <c r="C1160" s="19" t="s">
        <v>7654</v>
      </c>
      <c r="D1160" s="204" t="s">
        <v>2398</v>
      </c>
      <c r="E1160" s="204" t="s">
        <v>4847</v>
      </c>
      <c r="F1160" s="55" t="s">
        <v>2276</v>
      </c>
      <c r="G1160" s="4" t="s">
        <v>7703</v>
      </c>
      <c r="H1160" s="49" t="s">
        <v>4112</v>
      </c>
      <c r="I1160" s="21">
        <v>46.1089151046585</v>
      </c>
      <c r="J1160" s="21">
        <v>-114.849915390029</v>
      </c>
      <c r="K1160" s="177">
        <f>55755*2.59</f>
        <v>144405.44999999998</v>
      </c>
      <c r="L1160" s="204">
        <v>1999</v>
      </c>
      <c r="M1160" s="204">
        <v>2012</v>
      </c>
      <c r="N1160" s="82" t="s">
        <v>2276</v>
      </c>
      <c r="O1160" s="19" t="s">
        <v>67</v>
      </c>
      <c r="P1160" s="19" t="s">
        <v>5187</v>
      </c>
      <c r="Q1160" s="204"/>
    </row>
    <row r="1161" spans="1:17" ht="33.5" customHeight="1">
      <c r="A1161" s="213">
        <v>306</v>
      </c>
      <c r="B1161" s="40" t="s">
        <v>7643</v>
      </c>
      <c r="C1161" s="19" t="s">
        <v>7655</v>
      </c>
      <c r="D1161" s="204" t="s">
        <v>2398</v>
      </c>
      <c r="E1161" s="204" t="s">
        <v>4847</v>
      </c>
      <c r="F1161" s="55" t="s">
        <v>2276</v>
      </c>
      <c r="G1161" s="4" t="s">
        <v>7704</v>
      </c>
      <c r="H1161" s="49" t="s">
        <v>4112</v>
      </c>
      <c r="I1161" s="21">
        <v>39.598703150473803</v>
      </c>
      <c r="J1161" s="21">
        <v>-118.707682193636</v>
      </c>
      <c r="K1161" s="177">
        <f>72390*2.59</f>
        <v>187490.09999999998</v>
      </c>
      <c r="L1161" s="204">
        <v>1999</v>
      </c>
      <c r="M1161" s="204">
        <v>2012</v>
      </c>
      <c r="N1161" s="82" t="s">
        <v>2276</v>
      </c>
      <c r="O1161" s="19" t="s">
        <v>67</v>
      </c>
      <c r="P1161" s="19" t="s">
        <v>5187</v>
      </c>
      <c r="Q1161" s="204"/>
    </row>
    <row r="1162" spans="1:17" ht="33.5" customHeight="1">
      <c r="A1162" s="213">
        <v>306</v>
      </c>
      <c r="B1162" s="40" t="s">
        <v>7643</v>
      </c>
      <c r="C1162" s="19" t="s">
        <v>7656</v>
      </c>
      <c r="D1162" s="204" t="s">
        <v>2398</v>
      </c>
      <c r="E1162" s="204" t="s">
        <v>4847</v>
      </c>
      <c r="F1162" s="55" t="s">
        <v>2276</v>
      </c>
      <c r="G1162" s="4" t="s">
        <v>7705</v>
      </c>
      <c r="H1162" s="49" t="s">
        <v>4112</v>
      </c>
      <c r="I1162" s="21">
        <v>34.778412371848503</v>
      </c>
      <c r="J1162" s="21">
        <v>-116.631018494207</v>
      </c>
      <c r="K1162" s="177">
        <f>54803*2.59</f>
        <v>141939.76999999999</v>
      </c>
      <c r="L1162" s="204">
        <v>1999</v>
      </c>
      <c r="M1162" s="204">
        <v>2012</v>
      </c>
      <c r="N1162" s="82" t="s">
        <v>2276</v>
      </c>
      <c r="O1162" s="19" t="s">
        <v>67</v>
      </c>
      <c r="P1162" s="19" t="s">
        <v>5187</v>
      </c>
      <c r="Q1162" s="204"/>
    </row>
    <row r="1163" spans="1:17" ht="33.5" customHeight="1">
      <c r="A1163" s="213">
        <v>306</v>
      </c>
      <c r="B1163" s="40" t="s">
        <v>7643</v>
      </c>
      <c r="C1163" s="19" t="s">
        <v>7657</v>
      </c>
      <c r="D1163" s="204" t="s">
        <v>2398</v>
      </c>
      <c r="E1163" s="204" t="s">
        <v>4847</v>
      </c>
      <c r="F1163" s="55" t="s">
        <v>2276</v>
      </c>
      <c r="G1163" s="4" t="s">
        <v>7706</v>
      </c>
      <c r="H1163" s="49" t="s">
        <v>4112</v>
      </c>
      <c r="I1163" s="21">
        <v>32.655688180959601</v>
      </c>
      <c r="J1163" s="21">
        <v>-112.56350898674</v>
      </c>
      <c r="K1163" s="177">
        <f>36272.59</f>
        <v>36272.589999999997</v>
      </c>
      <c r="L1163" s="204">
        <v>1999</v>
      </c>
      <c r="M1163" s="204">
        <v>2012</v>
      </c>
      <c r="N1163" s="82" t="s">
        <v>2276</v>
      </c>
      <c r="O1163" s="19" t="s">
        <v>67</v>
      </c>
      <c r="P1163" s="19" t="s">
        <v>5187</v>
      </c>
      <c r="Q1163" s="204"/>
    </row>
    <row r="1164" spans="1:17" ht="33.5" customHeight="1">
      <c r="A1164" s="213">
        <v>306</v>
      </c>
      <c r="B1164" s="40" t="s">
        <v>7643</v>
      </c>
      <c r="C1164" s="19" t="s">
        <v>7658</v>
      </c>
      <c r="D1164" s="204" t="s">
        <v>2398</v>
      </c>
      <c r="E1164" s="204" t="s">
        <v>4847</v>
      </c>
      <c r="F1164" s="55" t="s">
        <v>2276</v>
      </c>
      <c r="G1164" s="4" t="s">
        <v>7707</v>
      </c>
      <c r="H1164" s="49" t="s">
        <v>4112</v>
      </c>
      <c r="I1164" s="21">
        <v>34.304956570755401</v>
      </c>
      <c r="J1164" s="21">
        <v>-110.871419047996</v>
      </c>
      <c r="K1164" s="177">
        <f>41772*2.59</f>
        <v>108189.48</v>
      </c>
      <c r="L1164" s="204">
        <v>1999</v>
      </c>
      <c r="M1164" s="204">
        <v>2012</v>
      </c>
      <c r="N1164" s="82" t="s">
        <v>2276</v>
      </c>
      <c r="O1164" s="19" t="s">
        <v>67</v>
      </c>
      <c r="P1164" s="19" t="s">
        <v>5187</v>
      </c>
      <c r="Q1164" s="204"/>
    </row>
    <row r="1165" spans="1:17" ht="33.5" customHeight="1">
      <c r="A1165" s="213">
        <v>306</v>
      </c>
      <c r="B1165" s="40" t="s">
        <v>7643</v>
      </c>
      <c r="C1165" s="19" t="s">
        <v>7659</v>
      </c>
      <c r="D1165" s="204" t="s">
        <v>2398</v>
      </c>
      <c r="E1165" s="204" t="s">
        <v>4847</v>
      </c>
      <c r="F1165" s="55" t="s">
        <v>2276</v>
      </c>
      <c r="G1165" s="4" t="s">
        <v>7708</v>
      </c>
      <c r="H1165" s="49" t="s">
        <v>4112</v>
      </c>
      <c r="I1165" s="21">
        <v>38.116662745959303</v>
      </c>
      <c r="J1165" s="21">
        <v>-112.022872420586</v>
      </c>
      <c r="K1165" s="177">
        <f>24057*2.59</f>
        <v>62307.63</v>
      </c>
      <c r="L1165" s="204">
        <v>1999</v>
      </c>
      <c r="M1165" s="204">
        <v>2012</v>
      </c>
      <c r="N1165" s="82" t="s">
        <v>2276</v>
      </c>
      <c r="O1165" s="19" t="s">
        <v>67</v>
      </c>
      <c r="P1165" s="19" t="s">
        <v>5187</v>
      </c>
      <c r="Q1165" s="204"/>
    </row>
    <row r="1166" spans="1:17" ht="33.5" customHeight="1">
      <c r="A1166" s="213">
        <v>306</v>
      </c>
      <c r="B1166" s="40" t="s">
        <v>7643</v>
      </c>
      <c r="C1166" s="19" t="s">
        <v>7660</v>
      </c>
      <c r="D1166" s="204" t="s">
        <v>2398</v>
      </c>
      <c r="E1166" s="204" t="s">
        <v>4847</v>
      </c>
      <c r="F1166" s="55" t="s">
        <v>2276</v>
      </c>
      <c r="G1166" s="4" t="s">
        <v>7709</v>
      </c>
      <c r="H1166" s="49" t="s">
        <v>4112</v>
      </c>
      <c r="I1166" s="21">
        <v>38.642097255574001</v>
      </c>
      <c r="J1166" s="21">
        <v>-113.81286692193</v>
      </c>
      <c r="K1166" s="177">
        <f>46910*2.59</f>
        <v>121496.9</v>
      </c>
      <c r="L1166" s="204">
        <v>1999</v>
      </c>
      <c r="M1166" s="204">
        <v>2012</v>
      </c>
      <c r="N1166" s="82" t="s">
        <v>2276</v>
      </c>
      <c r="O1166" s="19" t="s">
        <v>67</v>
      </c>
      <c r="P1166" s="19" t="s">
        <v>5187</v>
      </c>
      <c r="Q1166" s="204"/>
    </row>
    <row r="1167" spans="1:17" ht="33.5" customHeight="1">
      <c r="A1167" s="213">
        <v>306</v>
      </c>
      <c r="B1167" s="40" t="s">
        <v>7643</v>
      </c>
      <c r="C1167" s="19" t="s">
        <v>7661</v>
      </c>
      <c r="D1167" s="204" t="s">
        <v>2398</v>
      </c>
      <c r="E1167" s="204" t="s">
        <v>4847</v>
      </c>
      <c r="F1167" s="55" t="s">
        <v>2276</v>
      </c>
      <c r="G1167" s="4" t="s">
        <v>7710</v>
      </c>
      <c r="H1167" s="49" t="s">
        <v>4112</v>
      </c>
      <c r="I1167" s="21">
        <v>42.851093097746599</v>
      </c>
      <c r="J1167" s="21">
        <v>-113.39894400295999</v>
      </c>
      <c r="K1167" s="177">
        <f>36340*2.59</f>
        <v>94120.599999999991</v>
      </c>
      <c r="L1167" s="204">
        <v>1999</v>
      </c>
      <c r="M1167" s="204">
        <v>2012</v>
      </c>
      <c r="N1167" s="82" t="s">
        <v>2276</v>
      </c>
      <c r="O1167" s="19" t="s">
        <v>67</v>
      </c>
      <c r="P1167" s="19" t="s">
        <v>5187</v>
      </c>
      <c r="Q1167" s="204"/>
    </row>
    <row r="1168" spans="1:17" ht="33.5" customHeight="1">
      <c r="A1168" s="213">
        <v>306</v>
      </c>
      <c r="B1168" s="40" t="s">
        <v>7643</v>
      </c>
      <c r="C1168" s="19" t="s">
        <v>7662</v>
      </c>
      <c r="D1168" s="204" t="s">
        <v>2398</v>
      </c>
      <c r="E1168" s="204" t="s">
        <v>4847</v>
      </c>
      <c r="F1168" s="55" t="s">
        <v>2276</v>
      </c>
      <c r="G1168" s="4" t="s">
        <v>7711</v>
      </c>
      <c r="H1168" s="49" t="s">
        <v>4112</v>
      </c>
      <c r="I1168" s="21">
        <v>47.609854099917698</v>
      </c>
      <c r="J1168" s="21">
        <v>-113.35386703704199</v>
      </c>
      <c r="K1168" s="177">
        <f>41826*2.59</f>
        <v>108329.34</v>
      </c>
      <c r="L1168" s="204">
        <v>1999</v>
      </c>
      <c r="M1168" s="204">
        <v>2012</v>
      </c>
      <c r="N1168" s="82" t="s">
        <v>2276</v>
      </c>
      <c r="O1168" s="19" t="s">
        <v>67</v>
      </c>
      <c r="P1168" s="19" t="s">
        <v>5187</v>
      </c>
      <c r="Q1168" s="204"/>
    </row>
    <row r="1169" spans="1:17" ht="33.5" customHeight="1">
      <c r="A1169" s="213">
        <v>306</v>
      </c>
      <c r="B1169" s="40" t="s">
        <v>7643</v>
      </c>
      <c r="C1169" s="19" t="s">
        <v>7663</v>
      </c>
      <c r="D1169" s="204" t="s">
        <v>2398</v>
      </c>
      <c r="E1169" s="204" t="s">
        <v>4847</v>
      </c>
      <c r="F1169" s="55" t="s">
        <v>2276</v>
      </c>
      <c r="G1169" s="4" t="s">
        <v>7712</v>
      </c>
      <c r="H1169" s="49" t="s">
        <v>4112</v>
      </c>
      <c r="I1169" s="21">
        <v>47.868535860708398</v>
      </c>
      <c r="J1169" s="21">
        <v>-110.44733622938099</v>
      </c>
      <c r="K1169" s="177">
        <f>51769*2.59</f>
        <v>134081.71</v>
      </c>
      <c r="L1169" s="204">
        <v>1999</v>
      </c>
      <c r="M1169" s="204">
        <v>2012</v>
      </c>
      <c r="N1169" s="82" t="s">
        <v>2276</v>
      </c>
      <c r="O1169" s="19" t="s">
        <v>67</v>
      </c>
      <c r="P1169" s="19" t="s">
        <v>5187</v>
      </c>
      <c r="Q1169" s="204"/>
    </row>
    <row r="1170" spans="1:17" ht="33.5" customHeight="1">
      <c r="A1170" s="213">
        <v>306</v>
      </c>
      <c r="B1170" s="40" t="s">
        <v>7643</v>
      </c>
      <c r="C1170" s="19" t="s">
        <v>7664</v>
      </c>
      <c r="D1170" s="204" t="s">
        <v>2398</v>
      </c>
      <c r="E1170" s="204" t="s">
        <v>4847</v>
      </c>
      <c r="F1170" s="55" t="s">
        <v>2276</v>
      </c>
      <c r="G1170" s="4" t="s">
        <v>7713</v>
      </c>
      <c r="H1170" s="49" t="s">
        <v>4112</v>
      </c>
      <c r="I1170" s="21">
        <v>45.852431391876401</v>
      </c>
      <c r="J1170" s="21">
        <v>-112.035966654558</v>
      </c>
      <c r="K1170" s="177">
        <f>28983*2.59</f>
        <v>75065.97</v>
      </c>
      <c r="L1170" s="204">
        <v>1999</v>
      </c>
      <c r="M1170" s="204">
        <v>2012</v>
      </c>
      <c r="N1170" s="82" t="s">
        <v>2276</v>
      </c>
      <c r="O1170" s="19" t="s">
        <v>67</v>
      </c>
      <c r="P1170" s="19" t="s">
        <v>5187</v>
      </c>
      <c r="Q1170" s="204"/>
    </row>
    <row r="1171" spans="1:17" ht="33.5" customHeight="1">
      <c r="A1171" s="213">
        <v>306</v>
      </c>
      <c r="B1171" s="40" t="s">
        <v>7643</v>
      </c>
      <c r="C1171" s="19" t="s">
        <v>7665</v>
      </c>
      <c r="D1171" s="204" t="s">
        <v>2398</v>
      </c>
      <c r="E1171" s="204" t="s">
        <v>4847</v>
      </c>
      <c r="F1171" s="55" t="s">
        <v>2276</v>
      </c>
      <c r="G1171" s="4" t="s">
        <v>7714</v>
      </c>
      <c r="H1171" s="49" t="s">
        <v>4112</v>
      </c>
      <c r="I1171" s="21">
        <v>43.206435650051901</v>
      </c>
      <c r="J1171" s="21">
        <v>-108.169905326551</v>
      </c>
      <c r="K1171" s="177">
        <f>63661*2.59</f>
        <v>164881.99</v>
      </c>
      <c r="L1171" s="204">
        <v>1999</v>
      </c>
      <c r="M1171" s="204">
        <v>2012</v>
      </c>
      <c r="N1171" s="82" t="s">
        <v>2276</v>
      </c>
      <c r="O1171" s="19" t="s">
        <v>67</v>
      </c>
      <c r="P1171" s="19" t="s">
        <v>5187</v>
      </c>
      <c r="Q1171" s="204"/>
    </row>
    <row r="1172" spans="1:17" ht="33.5" customHeight="1">
      <c r="A1172" s="213">
        <v>306</v>
      </c>
      <c r="B1172" s="40" t="s">
        <v>7643</v>
      </c>
      <c r="C1172" s="19" t="s">
        <v>7666</v>
      </c>
      <c r="D1172" s="204" t="s">
        <v>2398</v>
      </c>
      <c r="E1172" s="204" t="s">
        <v>4847</v>
      </c>
      <c r="F1172" s="55" t="s">
        <v>2276</v>
      </c>
      <c r="G1172" s="4" t="s">
        <v>7715</v>
      </c>
      <c r="H1172" s="49" t="s">
        <v>4112</v>
      </c>
      <c r="I1172" s="21">
        <v>37.713571538518302</v>
      </c>
      <c r="J1172" s="21">
        <v>-110.01507313037899</v>
      </c>
      <c r="K1172" s="177">
        <f>47563*2.59</f>
        <v>123188.17</v>
      </c>
      <c r="L1172" s="204">
        <v>1999</v>
      </c>
      <c r="M1172" s="204">
        <v>2012</v>
      </c>
      <c r="N1172" s="82" t="s">
        <v>2276</v>
      </c>
      <c r="O1172" s="19" t="s">
        <v>67</v>
      </c>
      <c r="P1172" s="19" t="s">
        <v>5187</v>
      </c>
      <c r="Q1172" s="204"/>
    </row>
    <row r="1173" spans="1:17" ht="33.5" customHeight="1">
      <c r="A1173" s="213">
        <v>306</v>
      </c>
      <c r="B1173" s="40" t="s">
        <v>7643</v>
      </c>
      <c r="C1173" s="19" t="s">
        <v>7667</v>
      </c>
      <c r="D1173" s="204" t="s">
        <v>2398</v>
      </c>
      <c r="E1173" s="204" t="s">
        <v>4847</v>
      </c>
      <c r="F1173" s="55" t="s">
        <v>2276</v>
      </c>
      <c r="G1173" s="4" t="s">
        <v>7716</v>
      </c>
      <c r="H1173" s="49" t="s">
        <v>4112</v>
      </c>
      <c r="I1173" s="21">
        <v>35.818702662931202</v>
      </c>
      <c r="J1173" s="21">
        <v>-108.083646782667</v>
      </c>
      <c r="K1173" s="177">
        <f>51678*2.59</f>
        <v>133846.01999999999</v>
      </c>
      <c r="L1173" s="204">
        <v>1999</v>
      </c>
      <c r="M1173" s="204">
        <v>2012</v>
      </c>
      <c r="N1173" s="82" t="s">
        <v>2276</v>
      </c>
      <c r="O1173" s="19" t="s">
        <v>67</v>
      </c>
      <c r="P1173" s="19" t="s">
        <v>5187</v>
      </c>
      <c r="Q1173" s="204"/>
    </row>
    <row r="1174" spans="1:17" ht="33.5" customHeight="1">
      <c r="A1174" s="213">
        <v>306</v>
      </c>
      <c r="B1174" s="40" t="s">
        <v>7643</v>
      </c>
      <c r="C1174" s="19" t="s">
        <v>7668</v>
      </c>
      <c r="D1174" s="204" t="s">
        <v>2398</v>
      </c>
      <c r="E1174" s="204" t="s">
        <v>4847</v>
      </c>
      <c r="F1174" s="55" t="s">
        <v>2276</v>
      </c>
      <c r="G1174" s="4" t="s">
        <v>7717</v>
      </c>
      <c r="H1174" s="49" t="s">
        <v>4112</v>
      </c>
      <c r="I1174" s="21">
        <v>33.107345082338703</v>
      </c>
      <c r="J1174" s="21">
        <v>-106.83959031604</v>
      </c>
      <c r="K1174" s="177">
        <f>42492*2.59</f>
        <v>110054.28</v>
      </c>
      <c r="L1174" s="204">
        <v>1999</v>
      </c>
      <c r="M1174" s="204">
        <v>2012</v>
      </c>
      <c r="N1174" s="82" t="s">
        <v>2276</v>
      </c>
      <c r="O1174" s="19" t="s">
        <v>67</v>
      </c>
      <c r="P1174" s="19" t="s">
        <v>5187</v>
      </c>
      <c r="Q1174" s="204"/>
    </row>
    <row r="1175" spans="1:17" ht="33.5" customHeight="1">
      <c r="A1175" s="213">
        <v>306</v>
      </c>
      <c r="B1175" s="40" t="s">
        <v>7643</v>
      </c>
      <c r="C1175" s="19" t="s">
        <v>7669</v>
      </c>
      <c r="D1175" s="204" t="s">
        <v>2398</v>
      </c>
      <c r="E1175" s="204" t="s">
        <v>4847</v>
      </c>
      <c r="F1175" s="55" t="s">
        <v>2276</v>
      </c>
      <c r="G1175" s="4" t="s">
        <v>7718</v>
      </c>
      <c r="H1175" s="49" t="s">
        <v>4112</v>
      </c>
      <c r="I1175" s="21">
        <v>30.989107591917101</v>
      </c>
      <c r="J1175" s="21">
        <v>-103.635016640502</v>
      </c>
      <c r="K1175" s="177">
        <f>58697*2.59</f>
        <v>152025.22999999998</v>
      </c>
      <c r="L1175" s="204">
        <v>1999</v>
      </c>
      <c r="M1175" s="204">
        <v>2012</v>
      </c>
      <c r="N1175" s="82" t="s">
        <v>2276</v>
      </c>
      <c r="O1175" s="19" t="s">
        <v>67</v>
      </c>
      <c r="P1175" s="19" t="s">
        <v>5187</v>
      </c>
      <c r="Q1175" s="204"/>
    </row>
    <row r="1176" spans="1:17" ht="33.5" customHeight="1">
      <c r="A1176" s="213">
        <v>306</v>
      </c>
      <c r="B1176" s="40" t="s">
        <v>7643</v>
      </c>
      <c r="C1176" s="19" t="s">
        <v>7670</v>
      </c>
      <c r="D1176" s="204" t="s">
        <v>2398</v>
      </c>
      <c r="E1176" s="204" t="s">
        <v>4847</v>
      </c>
      <c r="F1176" s="55" t="s">
        <v>2276</v>
      </c>
      <c r="G1176" s="4" t="s">
        <v>7719</v>
      </c>
      <c r="H1176" s="49" t="s">
        <v>4112</v>
      </c>
      <c r="I1176" s="21">
        <v>35.247173149011502</v>
      </c>
      <c r="J1176" s="21">
        <v>-104.18999713305401</v>
      </c>
      <c r="K1176" s="177">
        <f>52755*2.59</f>
        <v>136635.44999999998</v>
      </c>
      <c r="L1176" s="204">
        <v>1999</v>
      </c>
      <c r="M1176" s="204">
        <v>2012</v>
      </c>
      <c r="N1176" s="82" t="s">
        <v>2276</v>
      </c>
      <c r="O1176" s="19" t="s">
        <v>67</v>
      </c>
      <c r="P1176" s="19" t="s">
        <v>5187</v>
      </c>
      <c r="Q1176" s="204"/>
    </row>
    <row r="1177" spans="1:17" ht="33.5" customHeight="1">
      <c r="A1177" s="213">
        <v>306</v>
      </c>
      <c r="B1177" s="40" t="s">
        <v>7643</v>
      </c>
      <c r="C1177" s="19" t="s">
        <v>7671</v>
      </c>
      <c r="D1177" s="204" t="s">
        <v>2398</v>
      </c>
      <c r="E1177" s="204" t="s">
        <v>4847</v>
      </c>
      <c r="F1177" s="55" t="s">
        <v>2276</v>
      </c>
      <c r="G1177" s="4" t="s">
        <v>7720</v>
      </c>
      <c r="H1177" s="49" t="s">
        <v>4112</v>
      </c>
      <c r="I1177" s="21">
        <v>38.9332271398968</v>
      </c>
      <c r="J1177" s="21">
        <v>-106.837067504185</v>
      </c>
      <c r="K1177" s="177">
        <f>53311*2.59</f>
        <v>138075.49</v>
      </c>
      <c r="L1177" s="204">
        <v>1999</v>
      </c>
      <c r="M1177" s="204">
        <v>2012</v>
      </c>
      <c r="N1177" s="82" t="s">
        <v>2276</v>
      </c>
      <c r="O1177" s="19" t="s">
        <v>67</v>
      </c>
      <c r="P1177" s="19" t="s">
        <v>5187</v>
      </c>
      <c r="Q1177" s="204"/>
    </row>
    <row r="1178" spans="1:17" ht="33.5" customHeight="1">
      <c r="A1178" s="213">
        <v>306</v>
      </c>
      <c r="B1178" s="40" t="s">
        <v>7643</v>
      </c>
      <c r="C1178" s="19" t="s">
        <v>7672</v>
      </c>
      <c r="D1178" s="204" t="s">
        <v>2398</v>
      </c>
      <c r="E1178" s="204" t="s">
        <v>4847</v>
      </c>
      <c r="F1178" s="55" t="s">
        <v>2276</v>
      </c>
      <c r="G1178" s="4" t="s">
        <v>7721</v>
      </c>
      <c r="H1178" s="49" t="s">
        <v>4112</v>
      </c>
      <c r="I1178" s="21">
        <v>44.540726286926599</v>
      </c>
      <c r="J1178" s="21">
        <v>-104.44072834635099</v>
      </c>
      <c r="K1178" s="177">
        <f>63661*2.59</f>
        <v>164881.99</v>
      </c>
      <c r="L1178" s="204">
        <v>1999</v>
      </c>
      <c r="M1178" s="204">
        <v>2012</v>
      </c>
      <c r="N1178" s="82" t="s">
        <v>2276</v>
      </c>
      <c r="O1178" s="19" t="s">
        <v>67</v>
      </c>
      <c r="P1178" s="19" t="s">
        <v>5187</v>
      </c>
      <c r="Q1178" s="204"/>
    </row>
    <row r="1179" spans="1:17" ht="33.5" customHeight="1">
      <c r="A1179" s="213">
        <v>306</v>
      </c>
      <c r="B1179" s="40" t="s">
        <v>7643</v>
      </c>
      <c r="C1179" s="19" t="s">
        <v>7673</v>
      </c>
      <c r="D1179" s="204" t="s">
        <v>2398</v>
      </c>
      <c r="E1179" s="204" t="s">
        <v>4847</v>
      </c>
      <c r="F1179" s="55" t="s">
        <v>2276</v>
      </c>
      <c r="G1179" s="4" t="s">
        <v>7722</v>
      </c>
      <c r="H1179" s="49" t="s">
        <v>4112</v>
      </c>
      <c r="I1179" s="21">
        <v>46.671839833881499</v>
      </c>
      <c r="J1179" s="21">
        <v>-102.684632776583</v>
      </c>
      <c r="K1179" s="177">
        <f>54498*2.59</f>
        <v>141149.81999999998</v>
      </c>
      <c r="L1179" s="204">
        <v>1999</v>
      </c>
      <c r="M1179" s="204">
        <v>2012</v>
      </c>
      <c r="N1179" s="82" t="s">
        <v>2276</v>
      </c>
      <c r="O1179" s="19" t="s">
        <v>67</v>
      </c>
      <c r="P1179" s="19" t="s">
        <v>5187</v>
      </c>
      <c r="Q1179" s="204"/>
    </row>
    <row r="1180" spans="1:17" ht="33.5" customHeight="1">
      <c r="A1180" s="213">
        <v>306</v>
      </c>
      <c r="B1180" s="40" t="s">
        <v>7643</v>
      </c>
      <c r="C1180" s="19" t="s">
        <v>7674</v>
      </c>
      <c r="D1180" s="204" t="s">
        <v>2398</v>
      </c>
      <c r="E1180" s="204" t="s">
        <v>4847</v>
      </c>
      <c r="F1180" s="55" t="s">
        <v>2276</v>
      </c>
      <c r="G1180" s="4" t="s">
        <v>7723</v>
      </c>
      <c r="H1180" s="49" t="s">
        <v>4112</v>
      </c>
      <c r="I1180" s="21">
        <v>43.625167760556103</v>
      </c>
      <c r="J1180" s="21">
        <v>-101.60632953459</v>
      </c>
      <c r="K1180" s="177">
        <f>59130*2.59</f>
        <v>153146.69999999998</v>
      </c>
      <c r="L1180" s="204">
        <v>1999</v>
      </c>
      <c r="M1180" s="204">
        <v>2012</v>
      </c>
      <c r="N1180" s="82" t="s">
        <v>2276</v>
      </c>
      <c r="O1180" s="19" t="s">
        <v>67</v>
      </c>
      <c r="P1180" s="19" t="s">
        <v>5187</v>
      </c>
      <c r="Q1180" s="204"/>
    </row>
    <row r="1181" spans="1:17" ht="33.5" customHeight="1">
      <c r="A1181" s="213">
        <v>306</v>
      </c>
      <c r="B1181" s="40" t="s">
        <v>7643</v>
      </c>
      <c r="C1181" s="19" t="s">
        <v>7594</v>
      </c>
      <c r="D1181" s="204" t="s">
        <v>2398</v>
      </c>
      <c r="E1181" s="204" t="s">
        <v>4847</v>
      </c>
      <c r="F1181" s="55" t="s">
        <v>2276</v>
      </c>
      <c r="G1181" s="4" t="s">
        <v>7724</v>
      </c>
      <c r="H1181" s="49" t="s">
        <v>4112</v>
      </c>
      <c r="I1181" s="21">
        <v>39.9925754</v>
      </c>
      <c r="J1181" s="21">
        <v>-99.766092</v>
      </c>
      <c r="K1181" s="177">
        <f>61107*2.59</f>
        <v>158267.13</v>
      </c>
      <c r="L1181" s="204">
        <v>1999</v>
      </c>
      <c r="M1181" s="204">
        <v>2012</v>
      </c>
      <c r="N1181" s="82" t="s">
        <v>2276</v>
      </c>
      <c r="O1181" s="19" t="s">
        <v>67</v>
      </c>
      <c r="P1181" s="19" t="s">
        <v>5187</v>
      </c>
      <c r="Q1181" s="204"/>
    </row>
    <row r="1182" spans="1:17" ht="33.5" customHeight="1">
      <c r="A1182" s="213">
        <v>306</v>
      </c>
      <c r="B1182" s="40" t="s">
        <v>7643</v>
      </c>
      <c r="C1182" s="19" t="s">
        <v>7615</v>
      </c>
      <c r="D1182" s="204" t="s">
        <v>2398</v>
      </c>
      <c r="E1182" s="204" t="s">
        <v>4847</v>
      </c>
      <c r="F1182" s="55" t="s">
        <v>2276</v>
      </c>
      <c r="G1182" s="4" t="s">
        <v>7725</v>
      </c>
      <c r="H1182" s="49" t="s">
        <v>4112</v>
      </c>
      <c r="I1182" s="21">
        <v>42.205696818515001</v>
      </c>
      <c r="J1182" s="21">
        <v>-103.325854285636</v>
      </c>
      <c r="K1182" s="177">
        <f>59537*2.59</f>
        <v>154200.82999999999</v>
      </c>
      <c r="L1182" s="204">
        <v>1999</v>
      </c>
      <c r="M1182" s="204">
        <v>2012</v>
      </c>
      <c r="N1182" s="82" t="s">
        <v>2276</v>
      </c>
      <c r="O1182" s="19" t="s">
        <v>67</v>
      </c>
      <c r="P1182" s="19" t="s">
        <v>5187</v>
      </c>
      <c r="Q1182" s="204"/>
    </row>
    <row r="1183" spans="1:17" ht="33.5" customHeight="1">
      <c r="A1183" s="213">
        <v>306</v>
      </c>
      <c r="B1183" s="40" t="s">
        <v>7643</v>
      </c>
      <c r="C1183" s="19" t="s">
        <v>7675</v>
      </c>
      <c r="D1183" s="204" t="s">
        <v>2398</v>
      </c>
      <c r="E1183" s="204" t="s">
        <v>4847</v>
      </c>
      <c r="F1183" s="55" t="s">
        <v>2276</v>
      </c>
      <c r="G1183" s="4" t="s">
        <v>7726</v>
      </c>
      <c r="H1183" s="49" t="s">
        <v>4112</v>
      </c>
      <c r="I1183" s="21">
        <v>37.284089343177598</v>
      </c>
      <c r="J1183" s="21">
        <v>-102.08163027409699</v>
      </c>
      <c r="K1183" s="177">
        <f>68161*2.59</f>
        <v>176536.99</v>
      </c>
      <c r="L1183" s="204">
        <v>1999</v>
      </c>
      <c r="M1183" s="204">
        <v>2012</v>
      </c>
      <c r="N1183" s="82" t="s">
        <v>2276</v>
      </c>
      <c r="O1183" s="19" t="s">
        <v>67</v>
      </c>
      <c r="P1183" s="19" t="s">
        <v>5187</v>
      </c>
      <c r="Q1183" s="204"/>
    </row>
    <row r="1184" spans="1:17" ht="33.5" customHeight="1">
      <c r="A1184" s="213">
        <v>306</v>
      </c>
      <c r="B1184" s="40" t="s">
        <v>7643</v>
      </c>
      <c r="C1184" s="19" t="s">
        <v>7676</v>
      </c>
      <c r="D1184" s="204" t="s">
        <v>2398</v>
      </c>
      <c r="E1184" s="204" t="s">
        <v>4847</v>
      </c>
      <c r="F1184" s="55" t="s">
        <v>2276</v>
      </c>
      <c r="G1184" s="4" t="s">
        <v>7727</v>
      </c>
      <c r="H1184" s="49" t="s">
        <v>4112</v>
      </c>
      <c r="I1184" s="21">
        <v>32.855131508091098</v>
      </c>
      <c r="J1184" s="21">
        <v>-99.620925031185294</v>
      </c>
      <c r="K1184" s="177">
        <f>61986*2.59</f>
        <v>160543.74</v>
      </c>
      <c r="L1184" s="204">
        <v>1999</v>
      </c>
      <c r="M1184" s="204">
        <v>2012</v>
      </c>
      <c r="N1184" s="82" t="s">
        <v>2276</v>
      </c>
      <c r="O1184" s="19" t="s">
        <v>67</v>
      </c>
      <c r="P1184" s="19" t="s">
        <v>5187</v>
      </c>
      <c r="Q1184" s="204"/>
    </row>
    <row r="1185" spans="1:17" ht="33.5" customHeight="1">
      <c r="A1185" s="213">
        <v>306</v>
      </c>
      <c r="B1185" s="40" t="s">
        <v>7643</v>
      </c>
      <c r="C1185" s="19" t="s">
        <v>7677</v>
      </c>
      <c r="D1185" s="204" t="s">
        <v>2398</v>
      </c>
      <c r="E1185" s="204" t="s">
        <v>4847</v>
      </c>
      <c r="F1185" s="55" t="s">
        <v>2276</v>
      </c>
      <c r="G1185" s="4" t="s">
        <v>7728</v>
      </c>
      <c r="H1185" s="19" t="s">
        <v>4112</v>
      </c>
      <c r="I1185" s="21">
        <v>28.824622636610201</v>
      </c>
      <c r="J1185" s="21">
        <v>-98.428523414803294</v>
      </c>
      <c r="K1185" s="177">
        <f>55188*2.59</f>
        <v>142936.91999999998</v>
      </c>
      <c r="L1185" s="204">
        <v>1999</v>
      </c>
      <c r="M1185" s="204">
        <v>2012</v>
      </c>
      <c r="N1185" s="82" t="s">
        <v>2276</v>
      </c>
      <c r="O1185" s="19" t="s">
        <v>67</v>
      </c>
      <c r="P1185" s="19" t="s">
        <v>5187</v>
      </c>
      <c r="Q1185" s="204"/>
    </row>
    <row r="1186" spans="1:17" ht="33.5" customHeight="1">
      <c r="A1186" s="213">
        <v>306</v>
      </c>
      <c r="B1186" s="40" t="s">
        <v>7643</v>
      </c>
      <c r="C1186" s="19" t="s">
        <v>7678</v>
      </c>
      <c r="D1186" s="204" t="s">
        <v>2398</v>
      </c>
      <c r="E1186" s="204" t="s">
        <v>4847</v>
      </c>
      <c r="F1186" s="55" t="s">
        <v>2276</v>
      </c>
      <c r="G1186" s="4" t="s">
        <v>7729</v>
      </c>
      <c r="H1186" s="19" t="s">
        <v>4112</v>
      </c>
      <c r="I1186" s="21">
        <v>31.163752012795001</v>
      </c>
      <c r="J1186" s="21">
        <v>-93.276679100962198</v>
      </c>
      <c r="K1186" s="177">
        <f>66683*2.59</f>
        <v>172708.97</v>
      </c>
      <c r="L1186" s="204">
        <v>1999</v>
      </c>
      <c r="M1186" s="204">
        <v>2012</v>
      </c>
      <c r="N1186" s="82" t="s">
        <v>2276</v>
      </c>
      <c r="O1186" s="19" t="s">
        <v>67</v>
      </c>
      <c r="P1186" s="19" t="s">
        <v>5187</v>
      </c>
      <c r="Q1186" s="204"/>
    </row>
    <row r="1187" spans="1:17" ht="33.5" customHeight="1">
      <c r="A1187" s="213">
        <v>306</v>
      </c>
      <c r="B1187" s="40" t="s">
        <v>7643</v>
      </c>
      <c r="C1187" s="19" t="s">
        <v>7679</v>
      </c>
      <c r="D1187" s="204" t="s">
        <v>2398</v>
      </c>
      <c r="E1187" s="204" t="s">
        <v>4847</v>
      </c>
      <c r="F1187" s="55" t="s">
        <v>2276</v>
      </c>
      <c r="G1187" s="4" t="s">
        <v>7730</v>
      </c>
      <c r="H1187" s="19" t="s">
        <v>4112</v>
      </c>
      <c r="I1187" s="21">
        <v>42.187305416271798</v>
      </c>
      <c r="J1187" s="21">
        <v>-99.304241951448404</v>
      </c>
      <c r="K1187" s="177">
        <f>73609*2.59</f>
        <v>190647.31</v>
      </c>
      <c r="L1187" s="204">
        <v>1999</v>
      </c>
      <c r="M1187" s="204">
        <v>2012</v>
      </c>
      <c r="N1187" s="82" t="s">
        <v>2276</v>
      </c>
      <c r="O1187" s="19" t="s">
        <v>67</v>
      </c>
      <c r="P1187" s="19" t="s">
        <v>5187</v>
      </c>
      <c r="Q1187" s="204"/>
    </row>
    <row r="1188" spans="1:17" ht="33.5" customHeight="1">
      <c r="A1188" s="213">
        <v>306</v>
      </c>
      <c r="B1188" s="40" t="s">
        <v>7643</v>
      </c>
      <c r="C1188" s="19" t="s">
        <v>7680</v>
      </c>
      <c r="D1188" s="204" t="s">
        <v>2398</v>
      </c>
      <c r="E1188" s="204" t="s">
        <v>4847</v>
      </c>
      <c r="F1188" s="55" t="s">
        <v>2276</v>
      </c>
      <c r="G1188" s="4" t="s">
        <v>7731</v>
      </c>
      <c r="H1188" s="19" t="s">
        <v>4112</v>
      </c>
      <c r="I1188" s="21">
        <v>44.533791593375298</v>
      </c>
      <c r="J1188" s="21">
        <v>-98.314577308112504</v>
      </c>
      <c r="K1188" s="177">
        <f>61354*2.59</f>
        <v>158906.85999999999</v>
      </c>
      <c r="L1188" s="204">
        <v>1999</v>
      </c>
      <c r="M1188" s="204">
        <v>2012</v>
      </c>
      <c r="N1188" s="82" t="s">
        <v>2276</v>
      </c>
      <c r="O1188" s="19" t="s">
        <v>67</v>
      </c>
      <c r="P1188" s="19" t="s">
        <v>5187</v>
      </c>
      <c r="Q1188" s="204"/>
    </row>
    <row r="1189" spans="1:17" ht="33.5" customHeight="1">
      <c r="A1189" s="213">
        <v>306</v>
      </c>
      <c r="B1189" s="40" t="s">
        <v>7643</v>
      </c>
      <c r="C1189" s="19" t="s">
        <v>7681</v>
      </c>
      <c r="D1189" s="204" t="s">
        <v>2398</v>
      </c>
      <c r="E1189" s="204" t="s">
        <v>4847</v>
      </c>
      <c r="F1189" s="55" t="s">
        <v>2276</v>
      </c>
      <c r="G1189" s="4" t="s">
        <v>7732</v>
      </c>
      <c r="H1189" s="19" t="s">
        <v>4112</v>
      </c>
      <c r="I1189" s="21">
        <v>46.671839833881499</v>
      </c>
      <c r="J1189" s="21">
        <v>-102.684632776583</v>
      </c>
      <c r="K1189" s="177">
        <f>49627*2.59</f>
        <v>128533.93</v>
      </c>
      <c r="L1189" s="204">
        <v>1999</v>
      </c>
      <c r="M1189" s="204">
        <v>2012</v>
      </c>
      <c r="N1189" s="82" t="s">
        <v>2276</v>
      </c>
      <c r="O1189" s="19" t="s">
        <v>67</v>
      </c>
      <c r="P1189" s="19" t="s">
        <v>5187</v>
      </c>
      <c r="Q1189" s="204"/>
    </row>
    <row r="1190" spans="1:17" ht="33.5" customHeight="1">
      <c r="A1190" s="213">
        <v>306</v>
      </c>
      <c r="B1190" s="40" t="s">
        <v>7643</v>
      </c>
      <c r="C1190" s="19" t="s">
        <v>7682</v>
      </c>
      <c r="D1190" s="204" t="s">
        <v>2398</v>
      </c>
      <c r="E1190" s="204" t="s">
        <v>4847</v>
      </c>
      <c r="F1190" s="55" t="s">
        <v>2276</v>
      </c>
      <c r="G1190" s="4" t="s">
        <v>7733</v>
      </c>
      <c r="H1190" s="19" t="s">
        <v>4112</v>
      </c>
      <c r="I1190" s="21">
        <v>47.220488584149997</v>
      </c>
      <c r="J1190" s="21">
        <v>-93.839292376980396</v>
      </c>
      <c r="K1190" s="177">
        <f>67110*2.59</f>
        <v>173814.9</v>
      </c>
      <c r="L1190" s="204">
        <v>1999</v>
      </c>
      <c r="M1190" s="204">
        <v>2012</v>
      </c>
      <c r="N1190" s="82" t="s">
        <v>2276</v>
      </c>
      <c r="O1190" s="19" t="s">
        <v>67</v>
      </c>
      <c r="P1190" s="19" t="s">
        <v>5187</v>
      </c>
      <c r="Q1190" s="204"/>
    </row>
    <row r="1191" spans="1:17" ht="33.5" customHeight="1">
      <c r="A1191" s="213">
        <v>306</v>
      </c>
      <c r="B1191" s="40" t="s">
        <v>7643</v>
      </c>
      <c r="C1191" s="19" t="s">
        <v>7683</v>
      </c>
      <c r="D1191" s="204" t="s">
        <v>2398</v>
      </c>
      <c r="E1191" s="204" t="s">
        <v>4847</v>
      </c>
      <c r="F1191" s="55" t="s">
        <v>2276</v>
      </c>
      <c r="G1191" s="4" t="s">
        <v>7734</v>
      </c>
      <c r="H1191" s="19" t="s">
        <v>4112</v>
      </c>
      <c r="I1191" s="21">
        <v>44.360199600110299</v>
      </c>
      <c r="J1191" s="21">
        <v>-94.420444631741702</v>
      </c>
      <c r="K1191" s="177">
        <f>50668*2.59</f>
        <v>131230.12</v>
      </c>
      <c r="L1191" s="204">
        <v>1999</v>
      </c>
      <c r="M1191" s="204">
        <v>2012</v>
      </c>
      <c r="N1191" s="82" t="s">
        <v>2276</v>
      </c>
      <c r="O1191" s="19" t="s">
        <v>67</v>
      </c>
      <c r="P1191" s="19" t="s">
        <v>5187</v>
      </c>
      <c r="Q1191" s="204"/>
    </row>
    <row r="1192" spans="1:17" ht="33.5" customHeight="1">
      <c r="A1192" s="213">
        <v>306</v>
      </c>
      <c r="B1192" s="40" t="s">
        <v>7643</v>
      </c>
      <c r="C1192" s="19" t="s">
        <v>7684</v>
      </c>
      <c r="D1192" s="204" t="s">
        <v>2398</v>
      </c>
      <c r="E1192" s="204" t="s">
        <v>4847</v>
      </c>
      <c r="F1192" s="55" t="s">
        <v>2276</v>
      </c>
      <c r="G1192" s="4" t="s">
        <v>7735</v>
      </c>
      <c r="H1192" s="19" t="s">
        <v>4112</v>
      </c>
      <c r="I1192" s="21">
        <v>42.284887811369003</v>
      </c>
      <c r="J1192" s="21">
        <v>-95.161682605095294</v>
      </c>
      <c r="K1192" s="177">
        <f>54629*2.59</f>
        <v>141489.10999999999</v>
      </c>
      <c r="L1192" s="204">
        <v>1999</v>
      </c>
      <c r="M1192" s="204">
        <v>2012</v>
      </c>
      <c r="N1192" s="82" t="s">
        <v>2276</v>
      </c>
      <c r="O1192" s="19" t="s">
        <v>67</v>
      </c>
      <c r="P1192" s="19" t="s">
        <v>5187</v>
      </c>
      <c r="Q1192" s="204"/>
    </row>
    <row r="1193" spans="1:17" ht="33.5" customHeight="1">
      <c r="A1193" s="213">
        <v>306</v>
      </c>
      <c r="B1193" s="40" t="s">
        <v>7643</v>
      </c>
      <c r="C1193" s="19" t="s">
        <v>7685</v>
      </c>
      <c r="D1193" s="204" t="s">
        <v>2398</v>
      </c>
      <c r="E1193" s="204" t="s">
        <v>4847</v>
      </c>
      <c r="F1193" s="55" t="s">
        <v>2276</v>
      </c>
      <c r="G1193" s="4" t="s">
        <v>7736</v>
      </c>
      <c r="H1193" s="19" t="s">
        <v>4112</v>
      </c>
      <c r="I1193" s="21">
        <v>38.003177753884998</v>
      </c>
      <c r="J1193" s="21">
        <v>-93.010125455351798</v>
      </c>
      <c r="K1193" s="177">
        <f>78784*2.59</f>
        <v>204050.56</v>
      </c>
      <c r="L1193" s="204">
        <v>1999</v>
      </c>
      <c r="M1193" s="204">
        <v>2012</v>
      </c>
      <c r="N1193" s="82" t="s">
        <v>2276</v>
      </c>
      <c r="O1193" s="19" t="s">
        <v>67</v>
      </c>
      <c r="P1193" s="19" t="s">
        <v>5187</v>
      </c>
      <c r="Q1193" s="204"/>
    </row>
    <row r="1194" spans="1:17" ht="33.5" customHeight="1">
      <c r="A1194" s="213">
        <v>306</v>
      </c>
      <c r="B1194" s="40" t="s">
        <v>7643</v>
      </c>
      <c r="C1194" s="19" t="s">
        <v>7686</v>
      </c>
      <c r="D1194" s="204" t="s">
        <v>2398</v>
      </c>
      <c r="E1194" s="204" t="s">
        <v>4847</v>
      </c>
      <c r="F1194" s="55" t="s">
        <v>2276</v>
      </c>
      <c r="G1194" s="4" t="s">
        <v>7737</v>
      </c>
      <c r="H1194" s="19" t="s">
        <v>4112</v>
      </c>
      <c r="I1194" s="21">
        <v>36.049821159957503</v>
      </c>
      <c r="J1194" s="21">
        <v>-90.223916009599193</v>
      </c>
      <c r="K1194" s="177">
        <f>31986*2.59</f>
        <v>82843.739999999991</v>
      </c>
      <c r="L1194" s="204">
        <v>1999</v>
      </c>
      <c r="M1194" s="204">
        <v>2012</v>
      </c>
      <c r="N1194" s="82" t="s">
        <v>2276</v>
      </c>
      <c r="O1194" s="19" t="s">
        <v>67</v>
      </c>
      <c r="P1194" s="19" t="s">
        <v>5187</v>
      </c>
      <c r="Q1194" s="204"/>
    </row>
    <row r="1195" spans="1:17" ht="33.5" customHeight="1">
      <c r="A1195" s="213">
        <v>306</v>
      </c>
      <c r="B1195" s="40" t="s">
        <v>7643</v>
      </c>
      <c r="C1195" s="19" t="s">
        <v>7687</v>
      </c>
      <c r="D1195" s="204" t="s">
        <v>2398</v>
      </c>
      <c r="E1195" s="204" t="s">
        <v>4847</v>
      </c>
      <c r="F1195" s="55" t="s">
        <v>2276</v>
      </c>
      <c r="G1195" s="4" t="s">
        <v>7738</v>
      </c>
      <c r="H1195" s="19" t="s">
        <v>4112</v>
      </c>
      <c r="I1195" s="21">
        <v>35.057128011129301</v>
      </c>
      <c r="J1195" s="21">
        <v>-86.979701945874993</v>
      </c>
      <c r="K1195" s="177">
        <f>49731*2.59</f>
        <v>128803.29</v>
      </c>
      <c r="L1195" s="204">
        <v>1999</v>
      </c>
      <c r="M1195" s="204">
        <v>2012</v>
      </c>
      <c r="N1195" s="82" t="s">
        <v>2276</v>
      </c>
      <c r="O1195" s="19" t="s">
        <v>67</v>
      </c>
      <c r="P1195" s="19" t="s">
        <v>5187</v>
      </c>
      <c r="Q1195" s="204"/>
    </row>
    <row r="1196" spans="1:17" ht="33.5" customHeight="1">
      <c r="A1196" s="213">
        <v>306</v>
      </c>
      <c r="B1196" s="40" t="s">
        <v>7643</v>
      </c>
      <c r="C1196" s="19" t="s">
        <v>7688</v>
      </c>
      <c r="D1196" s="204" t="s">
        <v>2398</v>
      </c>
      <c r="E1196" s="204" t="s">
        <v>4847</v>
      </c>
      <c r="F1196" s="55" t="s">
        <v>2276</v>
      </c>
      <c r="G1196" s="4" t="s">
        <v>7739</v>
      </c>
      <c r="H1196" s="19" t="s">
        <v>4112</v>
      </c>
      <c r="I1196" s="21">
        <v>37.666463615541602</v>
      </c>
      <c r="J1196" s="21">
        <v>-86.373834783277402</v>
      </c>
      <c r="K1196" s="177">
        <f>56603*2.59</f>
        <v>146601.76999999999</v>
      </c>
      <c r="L1196" s="204">
        <v>1999</v>
      </c>
      <c r="M1196" s="204">
        <v>2012</v>
      </c>
      <c r="N1196" s="82" t="s">
        <v>2276</v>
      </c>
      <c r="O1196" s="19" t="s">
        <v>67</v>
      </c>
      <c r="P1196" s="19" t="s">
        <v>5187</v>
      </c>
      <c r="Q1196" s="204"/>
    </row>
    <row r="1197" spans="1:17" ht="33.5" customHeight="1">
      <c r="A1197" s="213">
        <v>306</v>
      </c>
      <c r="B1197" s="40" t="s">
        <v>7643</v>
      </c>
      <c r="C1197" s="19" t="s">
        <v>7689</v>
      </c>
      <c r="D1197" s="204" t="s">
        <v>2398</v>
      </c>
      <c r="E1197" s="204" t="s">
        <v>4847</v>
      </c>
      <c r="F1197" s="55" t="s">
        <v>2276</v>
      </c>
      <c r="G1197" s="4" t="s">
        <v>7740</v>
      </c>
      <c r="H1197" s="19" t="s">
        <v>4112</v>
      </c>
      <c r="I1197" s="21">
        <v>36.044827473319401</v>
      </c>
      <c r="J1197" s="21">
        <v>-84.545718817056795</v>
      </c>
      <c r="K1197" s="177">
        <f>30630*2.59</f>
        <v>79331.7</v>
      </c>
      <c r="L1197" s="204">
        <v>1999</v>
      </c>
      <c r="M1197" s="204">
        <v>2012</v>
      </c>
      <c r="N1197" s="82" t="s">
        <v>2276</v>
      </c>
      <c r="O1197" s="19" t="s">
        <v>67</v>
      </c>
      <c r="P1197" s="19" t="s">
        <v>5187</v>
      </c>
      <c r="Q1197" s="204"/>
    </row>
    <row r="1198" spans="1:17" ht="33.5" customHeight="1">
      <c r="A1198" s="213">
        <v>306</v>
      </c>
      <c r="B1198" s="40" t="s">
        <v>7643</v>
      </c>
      <c r="C1198" s="19" t="s">
        <v>7690</v>
      </c>
      <c r="D1198" s="204" t="s">
        <v>2398</v>
      </c>
      <c r="E1198" s="204" t="s">
        <v>4847</v>
      </c>
      <c r="F1198" s="55" t="s">
        <v>2276</v>
      </c>
      <c r="G1198" s="4" t="s">
        <v>7741</v>
      </c>
      <c r="H1198" s="19" t="s">
        <v>4112</v>
      </c>
      <c r="I1198" s="21">
        <v>39.459519709421897</v>
      </c>
      <c r="J1198" s="21">
        <v>-88.857692444792804</v>
      </c>
      <c r="K1198" s="177">
        <f>63717*2.59</f>
        <v>165027.03</v>
      </c>
      <c r="L1198" s="204">
        <v>1999</v>
      </c>
      <c r="M1198" s="204">
        <v>2012</v>
      </c>
      <c r="N1198" s="82" t="s">
        <v>2276</v>
      </c>
      <c r="O1198" s="19" t="s">
        <v>67</v>
      </c>
      <c r="P1198" s="19" t="s">
        <v>5187</v>
      </c>
      <c r="Q1198" s="204"/>
    </row>
    <row r="1199" spans="1:17" ht="33.5" customHeight="1">
      <c r="A1199" s="213">
        <v>306</v>
      </c>
      <c r="B1199" s="40" t="s">
        <v>7643</v>
      </c>
      <c r="C1199" s="19" t="s">
        <v>7691</v>
      </c>
      <c r="D1199" s="204" t="s">
        <v>2398</v>
      </c>
      <c r="E1199" s="204" t="s">
        <v>4847</v>
      </c>
      <c r="F1199" s="55" t="s">
        <v>2276</v>
      </c>
      <c r="G1199" s="4" t="s">
        <v>7742</v>
      </c>
      <c r="H1199" s="19" t="s">
        <v>4112</v>
      </c>
      <c r="I1199" s="21">
        <v>43.311559075366397</v>
      </c>
      <c r="J1199" s="21">
        <v>-88.998633579664499</v>
      </c>
      <c r="K1199" s="177">
        <f>54569*2.59</f>
        <v>141333.71</v>
      </c>
      <c r="L1199" s="204">
        <v>1999</v>
      </c>
      <c r="M1199" s="204">
        <v>2012</v>
      </c>
      <c r="N1199" s="82" t="s">
        <v>2276</v>
      </c>
      <c r="O1199" s="19" t="s">
        <v>67</v>
      </c>
      <c r="P1199" s="19" t="s">
        <v>5187</v>
      </c>
      <c r="Q1199" s="204"/>
    </row>
    <row r="1200" spans="1:17" ht="33.5" customHeight="1">
      <c r="A1200" s="213">
        <v>306</v>
      </c>
      <c r="B1200" s="40" t="s">
        <v>7643</v>
      </c>
      <c r="C1200" s="19" t="s">
        <v>7692</v>
      </c>
      <c r="D1200" s="204" t="s">
        <v>2398</v>
      </c>
      <c r="E1200" s="204" t="s">
        <v>4847</v>
      </c>
      <c r="F1200" s="55" t="s">
        <v>2276</v>
      </c>
      <c r="G1200" s="4" t="s">
        <v>7743</v>
      </c>
      <c r="H1200" s="19" t="s">
        <v>4112</v>
      </c>
      <c r="I1200" s="21">
        <v>43.450687997823501</v>
      </c>
      <c r="J1200" s="21">
        <v>-84.906601542547705</v>
      </c>
      <c r="K1200" s="177">
        <f>94488*2.59</f>
        <v>244723.91999999998</v>
      </c>
      <c r="L1200" s="204">
        <v>1999</v>
      </c>
      <c r="M1200" s="204">
        <v>2012</v>
      </c>
      <c r="N1200" s="82" t="s">
        <v>2276</v>
      </c>
      <c r="O1200" s="19" t="s">
        <v>67</v>
      </c>
      <c r="P1200" s="19" t="s">
        <v>5187</v>
      </c>
      <c r="Q1200" s="204"/>
    </row>
    <row r="1201" spans="1:17" ht="33.5" customHeight="1">
      <c r="A1201" s="213">
        <v>306</v>
      </c>
      <c r="B1201" s="40" t="s">
        <v>7643</v>
      </c>
      <c r="C1201" s="19" t="s">
        <v>7693</v>
      </c>
      <c r="D1201" s="204" t="s">
        <v>2398</v>
      </c>
      <c r="E1201" s="204" t="s">
        <v>4847</v>
      </c>
      <c r="F1201" s="55" t="s">
        <v>2276</v>
      </c>
      <c r="G1201" s="4" t="s">
        <v>7744</v>
      </c>
      <c r="H1201" s="19" t="s">
        <v>4112</v>
      </c>
      <c r="I1201" s="21">
        <v>41.147854922698897</v>
      </c>
      <c r="J1201" s="21">
        <v>-85.320788018156804</v>
      </c>
      <c r="K1201" s="177">
        <f>33581*2.59</f>
        <v>86974.79</v>
      </c>
      <c r="L1201" s="204">
        <v>1999</v>
      </c>
      <c r="M1201" s="204">
        <v>2012</v>
      </c>
      <c r="N1201" s="82" t="s">
        <v>2276</v>
      </c>
      <c r="O1201" s="19" t="s">
        <v>67</v>
      </c>
      <c r="P1201" s="19" t="s">
        <v>5187</v>
      </c>
      <c r="Q1201" s="204"/>
    </row>
    <row r="1202" spans="1:17" ht="33.5" customHeight="1">
      <c r="A1202" s="213">
        <v>306</v>
      </c>
      <c r="B1202" s="40" t="s">
        <v>7643</v>
      </c>
      <c r="C1202" s="19" t="s">
        <v>7761</v>
      </c>
      <c r="D1202" s="204" t="s">
        <v>2398</v>
      </c>
      <c r="E1202" s="204" t="s">
        <v>4847</v>
      </c>
      <c r="F1202" s="55" t="s">
        <v>2276</v>
      </c>
      <c r="G1202" s="19" t="s">
        <v>7745</v>
      </c>
      <c r="H1202" s="19" t="s">
        <v>4112</v>
      </c>
      <c r="I1202" s="21">
        <v>38.445142935993097</v>
      </c>
      <c r="J1202" s="21">
        <v>-82.620243787525496</v>
      </c>
      <c r="K1202" s="177">
        <f>30636*2.59</f>
        <v>79347.239999999991</v>
      </c>
      <c r="L1202" s="204">
        <v>1999</v>
      </c>
      <c r="M1202" s="204">
        <v>2012</v>
      </c>
      <c r="N1202" s="82" t="s">
        <v>2276</v>
      </c>
      <c r="O1202" s="19" t="s">
        <v>67</v>
      </c>
      <c r="P1202" s="19" t="s">
        <v>5187</v>
      </c>
      <c r="Q1202" s="204"/>
    </row>
    <row r="1203" spans="1:17" ht="33.5" customHeight="1">
      <c r="A1203" s="213">
        <v>306</v>
      </c>
      <c r="B1203" s="40" t="s">
        <v>7643</v>
      </c>
      <c r="C1203" s="19" t="s">
        <v>7762</v>
      </c>
      <c r="D1203" s="204" t="s">
        <v>2398</v>
      </c>
      <c r="E1203" s="204" t="s">
        <v>4847</v>
      </c>
      <c r="F1203" s="55" t="s">
        <v>2276</v>
      </c>
      <c r="G1203" s="19" t="s">
        <v>7746</v>
      </c>
      <c r="H1203" s="19" t="s">
        <v>4112</v>
      </c>
      <c r="I1203" s="21">
        <v>31.7116845524944</v>
      </c>
      <c r="J1203" s="21">
        <v>-83.058017697435801</v>
      </c>
      <c r="K1203" s="177">
        <f>31561*2.59</f>
        <v>81742.989999999991</v>
      </c>
      <c r="L1203" s="204">
        <v>1999</v>
      </c>
      <c r="M1203" s="204">
        <v>2012</v>
      </c>
      <c r="N1203" s="82" t="s">
        <v>2276</v>
      </c>
      <c r="O1203" s="19" t="s">
        <v>67</v>
      </c>
      <c r="P1203" s="19" t="s">
        <v>5187</v>
      </c>
      <c r="Q1203" s="204"/>
    </row>
    <row r="1204" spans="1:17" ht="33.5" customHeight="1">
      <c r="A1204" s="213">
        <v>306</v>
      </c>
      <c r="B1204" s="40" t="s">
        <v>7643</v>
      </c>
      <c r="C1204" s="19" t="s">
        <v>7763</v>
      </c>
      <c r="D1204" s="204" t="s">
        <v>2398</v>
      </c>
      <c r="E1204" s="204" t="s">
        <v>4847</v>
      </c>
      <c r="F1204" s="55" t="s">
        <v>2276</v>
      </c>
      <c r="G1204" s="19" t="s">
        <v>7747</v>
      </c>
      <c r="H1204" s="19" t="s">
        <v>4112</v>
      </c>
      <c r="I1204" s="21">
        <v>27.750560631019699</v>
      </c>
      <c r="J1204" s="21">
        <v>-81.600274725274701</v>
      </c>
      <c r="K1204" s="177">
        <f>58267*2.59</f>
        <v>150911.53</v>
      </c>
      <c r="L1204" s="204">
        <v>1999</v>
      </c>
      <c r="M1204" s="204">
        <v>2012</v>
      </c>
      <c r="N1204" s="82" t="s">
        <v>2276</v>
      </c>
      <c r="O1204" s="19" t="s">
        <v>67</v>
      </c>
      <c r="P1204" s="19" t="s">
        <v>5187</v>
      </c>
      <c r="Q1204" s="204"/>
    </row>
    <row r="1205" spans="1:17" ht="33.5" customHeight="1">
      <c r="A1205" s="213">
        <v>306</v>
      </c>
      <c r="B1205" s="40" t="s">
        <v>7643</v>
      </c>
      <c r="C1205" s="19" t="s">
        <v>7764</v>
      </c>
      <c r="D1205" s="204" t="s">
        <v>2398</v>
      </c>
      <c r="E1205" s="204" t="s">
        <v>4847</v>
      </c>
      <c r="F1205" s="55" t="s">
        <v>2276</v>
      </c>
      <c r="G1205" s="19" t="s">
        <v>7748</v>
      </c>
      <c r="H1205" s="19" t="s">
        <v>4112</v>
      </c>
      <c r="I1205" s="21">
        <v>34.614429858070899</v>
      </c>
      <c r="J1205" s="21">
        <v>-83.772809150547104</v>
      </c>
      <c r="K1205" s="177">
        <f>35738*2.59</f>
        <v>92561.42</v>
      </c>
      <c r="L1205" s="204">
        <v>1999</v>
      </c>
      <c r="M1205" s="204">
        <v>2012</v>
      </c>
      <c r="N1205" s="82" t="s">
        <v>2276</v>
      </c>
      <c r="O1205" s="19" t="s">
        <v>67</v>
      </c>
      <c r="P1205" s="19" t="s">
        <v>5187</v>
      </c>
      <c r="Q1205" s="204"/>
    </row>
    <row r="1206" spans="1:17" ht="33.5" customHeight="1">
      <c r="A1206" s="213">
        <v>306</v>
      </c>
      <c r="B1206" s="40" t="s">
        <v>7643</v>
      </c>
      <c r="C1206" s="19" t="s">
        <v>7765</v>
      </c>
      <c r="D1206" s="204" t="s">
        <v>2398</v>
      </c>
      <c r="E1206" s="204" t="s">
        <v>4847</v>
      </c>
      <c r="F1206" s="55" t="s">
        <v>2276</v>
      </c>
      <c r="G1206" s="19" t="s">
        <v>7749</v>
      </c>
      <c r="H1206" s="19" t="s">
        <v>4112</v>
      </c>
      <c r="I1206" s="21">
        <v>36.948149094892102</v>
      </c>
      <c r="J1206" s="21">
        <v>-81.914653280610096</v>
      </c>
      <c r="K1206" s="177">
        <f>21787*2.59</f>
        <v>56428.329999999994</v>
      </c>
      <c r="L1206" s="204">
        <v>1999</v>
      </c>
      <c r="M1206" s="204">
        <v>2012</v>
      </c>
      <c r="N1206" s="82" t="s">
        <v>2276</v>
      </c>
      <c r="O1206" s="19" t="s">
        <v>67</v>
      </c>
      <c r="P1206" s="19" t="s">
        <v>5187</v>
      </c>
      <c r="Q1206" s="204"/>
    </row>
    <row r="1207" spans="1:17" ht="33.5" customHeight="1">
      <c r="A1207" s="213">
        <v>306</v>
      </c>
      <c r="B1207" s="40" t="s">
        <v>7643</v>
      </c>
      <c r="C1207" s="19" t="s">
        <v>7766</v>
      </c>
      <c r="D1207" s="204" t="s">
        <v>2398</v>
      </c>
      <c r="E1207" s="204" t="s">
        <v>4847</v>
      </c>
      <c r="F1207" s="55" t="s">
        <v>2276</v>
      </c>
      <c r="G1207" s="19" t="s">
        <v>7750</v>
      </c>
      <c r="H1207" s="19" t="s">
        <v>4112</v>
      </c>
      <c r="I1207" s="21">
        <v>34.483602729501897</v>
      </c>
      <c r="J1207" s="21">
        <v>-78.661113330768003</v>
      </c>
      <c r="K1207" s="177">
        <f>43890*2.59</f>
        <v>113675.09999999999</v>
      </c>
      <c r="L1207" s="204">
        <v>1999</v>
      </c>
      <c r="M1207" s="204">
        <v>2012</v>
      </c>
      <c r="N1207" s="82" t="s">
        <v>2276</v>
      </c>
      <c r="O1207" s="19" t="s">
        <v>67</v>
      </c>
      <c r="P1207" s="19" t="s">
        <v>5187</v>
      </c>
      <c r="Q1207" s="204"/>
    </row>
    <row r="1208" spans="1:17" ht="33.5" customHeight="1">
      <c r="A1208" s="213">
        <v>306</v>
      </c>
      <c r="B1208" s="40" t="s">
        <v>7643</v>
      </c>
      <c r="C1208" s="19" t="s">
        <v>7767</v>
      </c>
      <c r="D1208" s="204" t="s">
        <v>2398</v>
      </c>
      <c r="E1208" s="204" t="s">
        <v>4847</v>
      </c>
      <c r="F1208" s="55" t="s">
        <v>2276</v>
      </c>
      <c r="G1208" s="19" t="s">
        <v>7751</v>
      </c>
      <c r="H1208" s="19" t="s">
        <v>4112</v>
      </c>
      <c r="I1208" s="21">
        <v>35.905457239366797</v>
      </c>
      <c r="J1208" s="21">
        <v>-79.856345378835996</v>
      </c>
      <c r="K1208" s="177">
        <f>29647*2.59</f>
        <v>76785.73</v>
      </c>
      <c r="L1208" s="204">
        <v>1999</v>
      </c>
      <c r="M1208" s="204">
        <v>2012</v>
      </c>
      <c r="N1208" s="82" t="s">
        <v>2276</v>
      </c>
      <c r="O1208" s="19" t="s">
        <v>67</v>
      </c>
      <c r="P1208" s="19" t="s">
        <v>5187</v>
      </c>
      <c r="Q1208" s="204"/>
    </row>
    <row r="1209" spans="1:17" ht="33.5" customHeight="1">
      <c r="A1209" s="213">
        <v>306</v>
      </c>
      <c r="B1209" s="40" t="s">
        <v>7643</v>
      </c>
      <c r="C1209" s="19" t="s">
        <v>7671</v>
      </c>
      <c r="D1209" s="204" t="s">
        <v>2398</v>
      </c>
      <c r="E1209" s="204" t="s">
        <v>4847</v>
      </c>
      <c r="F1209" s="55" t="s">
        <v>2276</v>
      </c>
      <c r="G1209" s="19" t="s">
        <v>7752</v>
      </c>
      <c r="H1209" s="19" t="s">
        <v>4112</v>
      </c>
      <c r="I1209" s="21">
        <v>36.309703949427401</v>
      </c>
      <c r="J1209" s="21">
        <v>-77.1232874334695</v>
      </c>
      <c r="K1209" s="177">
        <f>42995*2.59</f>
        <v>111357.04999999999</v>
      </c>
      <c r="L1209" s="204">
        <v>1999</v>
      </c>
      <c r="M1209" s="204">
        <v>2012</v>
      </c>
      <c r="N1209" s="82" t="s">
        <v>2276</v>
      </c>
      <c r="O1209" s="19" t="s">
        <v>67</v>
      </c>
      <c r="P1209" s="19" t="s">
        <v>5187</v>
      </c>
      <c r="Q1209" s="204"/>
    </row>
    <row r="1210" spans="1:17" ht="33.5" customHeight="1">
      <c r="A1210" s="213">
        <v>306</v>
      </c>
      <c r="B1210" s="40" t="s">
        <v>7643</v>
      </c>
      <c r="C1210" s="19" t="s">
        <v>7768</v>
      </c>
      <c r="D1210" s="204" t="s">
        <v>2398</v>
      </c>
      <c r="E1210" s="204" t="s">
        <v>4847</v>
      </c>
      <c r="F1210" s="55" t="s">
        <v>2276</v>
      </c>
      <c r="G1210" s="19" t="s">
        <v>7753</v>
      </c>
      <c r="H1210" s="19" t="s">
        <v>4112</v>
      </c>
      <c r="I1210" s="21">
        <v>38.575051857117401</v>
      </c>
      <c r="J1210" s="21">
        <v>-78.980699691661499</v>
      </c>
      <c r="K1210" s="177">
        <f>42950*2.59</f>
        <v>111240.5</v>
      </c>
      <c r="L1210" s="204">
        <v>1999</v>
      </c>
      <c r="M1210" s="204">
        <v>2012</v>
      </c>
      <c r="N1210" s="82" t="s">
        <v>2276</v>
      </c>
      <c r="O1210" s="19" t="s">
        <v>67</v>
      </c>
      <c r="P1210" s="19" t="s">
        <v>5187</v>
      </c>
      <c r="Q1210" s="204"/>
    </row>
    <row r="1211" spans="1:17" ht="33.5" customHeight="1">
      <c r="A1211" s="213">
        <v>306</v>
      </c>
      <c r="B1211" s="40" t="s">
        <v>7643</v>
      </c>
      <c r="C1211" s="19" t="s">
        <v>7769</v>
      </c>
      <c r="D1211" s="204" t="s">
        <v>2398</v>
      </c>
      <c r="E1211" s="204" t="s">
        <v>4847</v>
      </c>
      <c r="F1211" s="55" t="s">
        <v>2276</v>
      </c>
      <c r="G1211" s="19" t="s">
        <v>7754</v>
      </c>
      <c r="H1211" s="19" t="s">
        <v>4112</v>
      </c>
      <c r="I1211" s="21">
        <v>41.0545528779572</v>
      </c>
      <c r="J1211" s="21">
        <v>-80.493087619978894</v>
      </c>
      <c r="K1211" s="177">
        <f t="shared" ref="K1211" si="16">36039*2.59</f>
        <v>93341.01</v>
      </c>
      <c r="L1211" s="204">
        <v>1999</v>
      </c>
      <c r="M1211" s="204">
        <v>2012</v>
      </c>
      <c r="N1211" s="82" t="s">
        <v>2276</v>
      </c>
      <c r="O1211" s="19" t="s">
        <v>67</v>
      </c>
      <c r="P1211" s="19" t="s">
        <v>5187</v>
      </c>
      <c r="Q1211" s="204"/>
    </row>
    <row r="1212" spans="1:17" ht="33.5" customHeight="1">
      <c r="A1212" s="213">
        <v>306</v>
      </c>
      <c r="B1212" s="40" t="s">
        <v>7643</v>
      </c>
      <c r="C1212" s="19" t="s">
        <v>7770</v>
      </c>
      <c r="D1212" s="204" t="s">
        <v>2398</v>
      </c>
      <c r="E1212" s="204" t="s">
        <v>4847</v>
      </c>
      <c r="F1212" s="55" t="s">
        <v>2276</v>
      </c>
      <c r="G1212" s="19" t="s">
        <v>7755</v>
      </c>
      <c r="H1212" s="19" t="s">
        <v>4112</v>
      </c>
      <c r="I1212" s="21">
        <v>42.829542305141601</v>
      </c>
      <c r="J1212" s="21">
        <v>-77.173195377135798</v>
      </c>
      <c r="K1212" s="177">
        <f>34501*2.59</f>
        <v>89357.59</v>
      </c>
      <c r="L1212" s="204">
        <v>1999</v>
      </c>
      <c r="M1212" s="204">
        <v>2012</v>
      </c>
      <c r="N1212" s="82" t="s">
        <v>2276</v>
      </c>
      <c r="O1212" s="19" t="s">
        <v>67</v>
      </c>
      <c r="P1212" s="19" t="s">
        <v>5187</v>
      </c>
      <c r="Q1212" s="204"/>
    </row>
    <row r="1213" spans="1:17" ht="33.5" customHeight="1">
      <c r="A1213" s="213">
        <v>306</v>
      </c>
      <c r="B1213" s="40" t="s">
        <v>7643</v>
      </c>
      <c r="C1213" s="19" t="s">
        <v>7771</v>
      </c>
      <c r="D1213" s="204" t="s">
        <v>2398</v>
      </c>
      <c r="E1213" s="204" t="s">
        <v>4847</v>
      </c>
      <c r="F1213" s="55" t="s">
        <v>2276</v>
      </c>
      <c r="G1213" s="19" t="s">
        <v>7756</v>
      </c>
      <c r="H1213" s="19" t="s">
        <v>4112</v>
      </c>
      <c r="I1213" s="21">
        <v>44.193558318032501</v>
      </c>
      <c r="J1213" s="21">
        <v>-74.267952012763999</v>
      </c>
      <c r="K1213" s="177">
        <f>31128*2.59</f>
        <v>80621.51999999999</v>
      </c>
      <c r="L1213" s="204">
        <v>1999</v>
      </c>
      <c r="M1213" s="204">
        <v>2012</v>
      </c>
      <c r="N1213" s="82" t="s">
        <v>2276</v>
      </c>
      <c r="O1213" s="19" t="s">
        <v>67</v>
      </c>
      <c r="P1213" s="19" t="s">
        <v>5187</v>
      </c>
      <c r="Q1213" s="204"/>
    </row>
    <row r="1214" spans="1:17" ht="35.5" customHeight="1">
      <c r="A1214" s="213">
        <v>306</v>
      </c>
      <c r="B1214" s="40" t="s">
        <v>7643</v>
      </c>
      <c r="C1214" s="19" t="s">
        <v>7772</v>
      </c>
      <c r="D1214" s="204" t="s">
        <v>2398</v>
      </c>
      <c r="E1214" s="204" t="s">
        <v>4847</v>
      </c>
      <c r="F1214" s="55" t="s">
        <v>2276</v>
      </c>
      <c r="G1214" s="19" t="s">
        <v>7757</v>
      </c>
      <c r="H1214" s="19" t="s">
        <v>4112</v>
      </c>
      <c r="I1214" s="21">
        <v>42.800472916888303</v>
      </c>
      <c r="J1214" s="21">
        <v>-72.131080067870798</v>
      </c>
      <c r="K1214" s="177">
        <f>32173*2.59</f>
        <v>83328.069999999992</v>
      </c>
      <c r="L1214" s="204">
        <v>1999</v>
      </c>
      <c r="M1214" s="204">
        <v>2012</v>
      </c>
      <c r="N1214" s="82" t="s">
        <v>2276</v>
      </c>
      <c r="O1214" s="19" t="s">
        <v>67</v>
      </c>
      <c r="P1214" s="19" t="s">
        <v>5187</v>
      </c>
      <c r="Q1214" s="204"/>
    </row>
    <row r="1215" spans="1:17" ht="33.5" customHeight="1">
      <c r="A1215" s="213">
        <v>306</v>
      </c>
      <c r="B1215" s="40" t="s">
        <v>7643</v>
      </c>
      <c r="C1215" s="19" t="s">
        <v>7773</v>
      </c>
      <c r="D1215" s="204" t="s">
        <v>2398</v>
      </c>
      <c r="E1215" s="204" t="s">
        <v>4847</v>
      </c>
      <c r="F1215" s="55" t="s">
        <v>2276</v>
      </c>
      <c r="G1215" s="19" t="s">
        <v>7758</v>
      </c>
      <c r="H1215" s="19" t="s">
        <v>4112</v>
      </c>
      <c r="I1215" s="21">
        <v>45.238111256543803</v>
      </c>
      <c r="J1215" s="21">
        <v>-69.332592584839105</v>
      </c>
      <c r="K1215" s="177">
        <f>46834*2.59</f>
        <v>121300.06</v>
      </c>
      <c r="L1215" s="204">
        <v>1999</v>
      </c>
      <c r="M1215" s="204">
        <v>2012</v>
      </c>
      <c r="N1215" s="82" t="s">
        <v>2276</v>
      </c>
      <c r="O1215" s="19" t="s">
        <v>67</v>
      </c>
      <c r="P1215" s="19" t="s">
        <v>5187</v>
      </c>
      <c r="Q1215" s="204"/>
    </row>
    <row r="1216" spans="1:17" ht="33.5" customHeight="1">
      <c r="A1216" s="213">
        <v>306</v>
      </c>
      <c r="B1216" s="40" t="s">
        <v>7643</v>
      </c>
      <c r="C1216" s="19" t="s">
        <v>7774</v>
      </c>
      <c r="D1216" s="204" t="s">
        <v>2398</v>
      </c>
      <c r="E1216" s="204" t="s">
        <v>4847</v>
      </c>
      <c r="F1216" s="55" t="s">
        <v>2276</v>
      </c>
      <c r="G1216" s="19" t="s">
        <v>7759</v>
      </c>
      <c r="H1216" s="19" t="s">
        <v>4112</v>
      </c>
      <c r="I1216" s="21">
        <v>30.186731609114901</v>
      </c>
      <c r="J1216" s="21">
        <v>-91.862188789326197</v>
      </c>
      <c r="K1216" s="177">
        <f>20900*2.59</f>
        <v>54131</v>
      </c>
      <c r="L1216" s="204">
        <v>1999</v>
      </c>
      <c r="M1216" s="204">
        <v>2012</v>
      </c>
      <c r="N1216" s="82" t="s">
        <v>2276</v>
      </c>
      <c r="O1216" s="19" t="s">
        <v>67</v>
      </c>
      <c r="P1216" s="19" t="s">
        <v>5187</v>
      </c>
      <c r="Q1216" s="204"/>
    </row>
    <row r="1217" spans="1:17" ht="33.5" customHeight="1">
      <c r="A1217" s="213">
        <v>306</v>
      </c>
      <c r="B1217" s="40" t="s">
        <v>7643</v>
      </c>
      <c r="C1217" s="19" t="s">
        <v>7775</v>
      </c>
      <c r="D1217" s="204" t="s">
        <v>2398</v>
      </c>
      <c r="E1217" s="204" t="s">
        <v>4847</v>
      </c>
      <c r="F1217" s="19" t="s">
        <v>2276</v>
      </c>
      <c r="G1217" s="19" t="s">
        <v>7760</v>
      </c>
      <c r="H1217" s="19" t="s">
        <v>4112</v>
      </c>
      <c r="I1217" s="21">
        <v>31.185659654585798</v>
      </c>
      <c r="J1217" s="21">
        <v>-87.291682387980302</v>
      </c>
      <c r="K1217" s="177">
        <f>41209*2.59</f>
        <v>106731.31</v>
      </c>
      <c r="L1217" s="204">
        <v>1999</v>
      </c>
      <c r="M1217" s="204">
        <v>2012</v>
      </c>
      <c r="N1217" s="82" t="s">
        <v>2276</v>
      </c>
      <c r="O1217" s="19" t="s">
        <v>67</v>
      </c>
      <c r="P1217" s="19" t="s">
        <v>5187</v>
      </c>
      <c r="Q1217" s="204"/>
    </row>
    <row r="1218" spans="1:17" ht="40" customHeight="1">
      <c r="A1218" s="225">
        <v>307</v>
      </c>
      <c r="B1218" s="226" t="s">
        <v>7852</v>
      </c>
      <c r="C1218" s="58" t="s">
        <v>7853</v>
      </c>
      <c r="D1218" s="44" t="s">
        <v>2398</v>
      </c>
      <c r="E1218" s="44" t="s">
        <v>2636</v>
      </c>
      <c r="F1218" s="58" t="s">
        <v>2276</v>
      </c>
      <c r="G1218" s="44" t="s">
        <v>7854</v>
      </c>
      <c r="H1218" s="44" t="s">
        <v>6398</v>
      </c>
      <c r="I1218" s="227">
        <v>63.071013000000001</v>
      </c>
      <c r="J1218" s="227">
        <v>17.071424100000002</v>
      </c>
      <c r="K1218" s="227">
        <v>21683.8</v>
      </c>
      <c r="L1218" s="44">
        <v>1993</v>
      </c>
      <c r="M1218" s="44">
        <v>2006</v>
      </c>
      <c r="N1218" s="228" t="s">
        <v>2276</v>
      </c>
      <c r="O1218" s="58" t="s">
        <v>67</v>
      </c>
      <c r="P1218" s="58" t="s">
        <v>5187</v>
      </c>
      <c r="Q1218" s="44"/>
    </row>
    <row r="1219" spans="1:17" ht="36.5" customHeight="1">
      <c r="A1219" s="225">
        <v>307</v>
      </c>
      <c r="B1219" s="226" t="s">
        <v>7852</v>
      </c>
      <c r="C1219" s="58" t="s">
        <v>7856</v>
      </c>
      <c r="D1219" s="44" t="s">
        <v>2398</v>
      </c>
      <c r="E1219" s="44" t="s">
        <v>2399</v>
      </c>
      <c r="F1219" s="58" t="s">
        <v>7855</v>
      </c>
      <c r="G1219" s="44" t="s">
        <v>7854</v>
      </c>
      <c r="H1219" s="44" t="s">
        <v>6398</v>
      </c>
      <c r="I1219" s="227">
        <v>62.437196900000004</v>
      </c>
      <c r="J1219" s="227">
        <v>15.9621072</v>
      </c>
      <c r="K1219" s="227" t="s">
        <v>2276</v>
      </c>
      <c r="L1219" s="44">
        <v>2002</v>
      </c>
      <c r="M1219" s="44">
        <v>2006</v>
      </c>
      <c r="N1219" s="228" t="s">
        <v>2276</v>
      </c>
      <c r="O1219" s="58" t="s">
        <v>67</v>
      </c>
      <c r="P1219" s="58" t="s">
        <v>5187</v>
      </c>
      <c r="Q1219" s="44"/>
    </row>
    <row r="1220" spans="1:17" ht="33.5" customHeight="1">
      <c r="A1220" s="213">
        <v>308</v>
      </c>
      <c r="B1220" s="40" t="s">
        <v>7873</v>
      </c>
      <c r="C1220" s="19" t="s">
        <v>7874</v>
      </c>
      <c r="D1220" s="11" t="s">
        <v>2398</v>
      </c>
      <c r="E1220" s="11" t="s">
        <v>2399</v>
      </c>
      <c r="F1220" s="19" t="s">
        <v>7875</v>
      </c>
      <c r="G1220" s="19" t="s">
        <v>166</v>
      </c>
      <c r="H1220" s="19" t="s">
        <v>121</v>
      </c>
      <c r="I1220" s="21">
        <v>-2.6536445999999998</v>
      </c>
      <c r="J1220" s="21">
        <v>-54.9198971</v>
      </c>
      <c r="K1220" s="21">
        <v>4398.3999999999996</v>
      </c>
      <c r="L1220" s="11">
        <v>1995</v>
      </c>
      <c r="M1220" s="11">
        <v>1996</v>
      </c>
      <c r="N1220" s="82" t="s">
        <v>2276</v>
      </c>
      <c r="O1220" s="19" t="s">
        <v>67</v>
      </c>
      <c r="P1220" s="19" t="s">
        <v>5187</v>
      </c>
      <c r="Q1220" s="204"/>
    </row>
    <row r="1221" spans="1:17" ht="37" customHeight="1">
      <c r="A1221" s="213">
        <v>309</v>
      </c>
      <c r="B1221" s="40" t="s">
        <v>7886</v>
      </c>
      <c r="C1221" s="19" t="s">
        <v>7887</v>
      </c>
      <c r="D1221" s="11" t="s">
        <v>2398</v>
      </c>
      <c r="E1221" s="11" t="s">
        <v>2399</v>
      </c>
      <c r="F1221" s="4" t="s">
        <v>7888</v>
      </c>
      <c r="G1221" s="204" t="s">
        <v>7889</v>
      </c>
      <c r="H1221" s="19" t="s">
        <v>134</v>
      </c>
      <c r="I1221" s="21">
        <f>4+48/60</f>
        <v>4.8</v>
      </c>
      <c r="J1221" s="21">
        <f>-75-24/60</f>
        <v>-75.400000000000006</v>
      </c>
      <c r="K1221" s="82" t="s">
        <v>2276</v>
      </c>
      <c r="L1221" s="11">
        <v>1992</v>
      </c>
      <c r="M1221" s="11">
        <v>1992</v>
      </c>
      <c r="N1221" s="82" t="s">
        <v>2276</v>
      </c>
      <c r="O1221" s="19" t="s">
        <v>67</v>
      </c>
      <c r="P1221" s="19" t="s">
        <v>5187</v>
      </c>
      <c r="Q1221" s="40" t="s">
        <v>7890</v>
      </c>
    </row>
    <row r="1222" spans="1:17" ht="32" customHeight="1">
      <c r="A1222" s="213">
        <v>310</v>
      </c>
      <c r="B1222" s="40" t="s">
        <v>7897</v>
      </c>
      <c r="C1222" s="19" t="s">
        <v>7896</v>
      </c>
      <c r="D1222" s="11" t="s">
        <v>2398</v>
      </c>
      <c r="E1222" s="11" t="s">
        <v>2420</v>
      </c>
      <c r="F1222" s="204" t="s">
        <v>7903</v>
      </c>
      <c r="G1222" s="204" t="s">
        <v>7898</v>
      </c>
      <c r="H1222" s="204" t="s">
        <v>3616</v>
      </c>
      <c r="I1222" s="21">
        <v>-41.121901399999999</v>
      </c>
      <c r="J1222" s="21">
        <v>-71.404353599999993</v>
      </c>
      <c r="K1222" s="82" t="s">
        <v>2276</v>
      </c>
      <c r="L1222" s="204">
        <v>1940</v>
      </c>
      <c r="M1222" s="204">
        <v>2002</v>
      </c>
      <c r="N1222" s="82" t="s">
        <v>2276</v>
      </c>
      <c r="O1222" s="19" t="s">
        <v>67</v>
      </c>
      <c r="P1222" s="19" t="s">
        <v>5187</v>
      </c>
      <c r="Q1222" s="204"/>
    </row>
    <row r="1223" spans="1:17" ht="34.5" customHeight="1">
      <c r="A1223" s="213">
        <v>310</v>
      </c>
      <c r="B1223" s="40" t="s">
        <v>7897</v>
      </c>
      <c r="C1223" s="19" t="s">
        <v>7902</v>
      </c>
      <c r="D1223" s="11" t="s">
        <v>2398</v>
      </c>
      <c r="E1223" s="11" t="s">
        <v>2420</v>
      </c>
      <c r="F1223" s="19" t="s">
        <v>7901</v>
      </c>
      <c r="G1223" s="204" t="s">
        <v>7898</v>
      </c>
      <c r="H1223" s="204" t="s">
        <v>3616</v>
      </c>
      <c r="I1223" s="21">
        <v>-41.218642199999998</v>
      </c>
      <c r="J1223" s="21">
        <v>-71.302989400000001</v>
      </c>
      <c r="K1223" s="82" t="s">
        <v>2276</v>
      </c>
      <c r="L1223" s="204">
        <v>1940</v>
      </c>
      <c r="M1223" s="204">
        <v>2002</v>
      </c>
      <c r="N1223" s="82" t="s">
        <v>2276</v>
      </c>
      <c r="O1223" s="19" t="s">
        <v>67</v>
      </c>
      <c r="P1223" s="19" t="s">
        <v>5187</v>
      </c>
      <c r="Q1223" s="204"/>
    </row>
    <row r="1224" spans="1:17" ht="32" customHeight="1">
      <c r="A1224" s="219">
        <v>311</v>
      </c>
      <c r="B1224" s="54" t="s">
        <v>7907</v>
      </c>
      <c r="C1224" s="55" t="s">
        <v>7908</v>
      </c>
      <c r="D1224" s="38" t="s">
        <v>2398</v>
      </c>
      <c r="E1224" s="204" t="s">
        <v>2399</v>
      </c>
      <c r="F1224" s="204" t="s">
        <v>7918</v>
      </c>
      <c r="G1224" s="55" t="s">
        <v>7909</v>
      </c>
      <c r="H1224" s="35" t="s">
        <v>3770</v>
      </c>
      <c r="I1224" s="73">
        <f>-25-25/60</f>
        <v>-25.416666666666668</v>
      </c>
      <c r="J1224" s="73">
        <f>30+10/60</f>
        <v>30.166666666666668</v>
      </c>
      <c r="K1224" s="220" t="s">
        <v>2276</v>
      </c>
      <c r="L1224" s="33">
        <v>2007</v>
      </c>
      <c r="M1224" s="33">
        <v>2009</v>
      </c>
      <c r="N1224" s="220" t="s">
        <v>2276</v>
      </c>
      <c r="O1224" s="55" t="s">
        <v>67</v>
      </c>
      <c r="P1224" s="55" t="s">
        <v>5187</v>
      </c>
      <c r="Q1224" s="38"/>
    </row>
    <row r="1225" spans="1:17" ht="32" customHeight="1">
      <c r="A1225" s="213">
        <v>311</v>
      </c>
      <c r="B1225" s="40" t="s">
        <v>7907</v>
      </c>
      <c r="C1225" s="19" t="s">
        <v>7911</v>
      </c>
      <c r="D1225" s="204" t="s">
        <v>2398</v>
      </c>
      <c r="E1225" s="204" t="s">
        <v>2399</v>
      </c>
      <c r="F1225" s="204" t="s">
        <v>7918</v>
      </c>
      <c r="G1225" s="19" t="s">
        <v>7909</v>
      </c>
      <c r="H1225" s="11" t="s">
        <v>3770</v>
      </c>
      <c r="I1225" s="21">
        <f t="shared" ref="I1225:I1231" si="17">-25-25/60</f>
        <v>-25.416666666666668</v>
      </c>
      <c r="J1225" s="21">
        <f t="shared" ref="J1225:J1231" si="18">30+10/60</f>
        <v>30.166666666666668</v>
      </c>
      <c r="K1225" s="82" t="s">
        <v>2276</v>
      </c>
      <c r="L1225" s="11">
        <v>2007</v>
      </c>
      <c r="M1225" s="11">
        <v>2009</v>
      </c>
      <c r="N1225" s="82" t="s">
        <v>2276</v>
      </c>
      <c r="O1225" s="19" t="s">
        <v>67</v>
      </c>
      <c r="P1225" s="19" t="s">
        <v>5187</v>
      </c>
      <c r="Q1225" s="204"/>
    </row>
    <row r="1226" spans="1:17" ht="32" customHeight="1">
      <c r="A1226" s="213">
        <v>311</v>
      </c>
      <c r="B1226" s="40" t="s">
        <v>7907</v>
      </c>
      <c r="C1226" s="19" t="s">
        <v>7912</v>
      </c>
      <c r="D1226" s="204" t="s">
        <v>2398</v>
      </c>
      <c r="E1226" s="204" t="s">
        <v>2399</v>
      </c>
      <c r="F1226" s="204" t="s">
        <v>7918</v>
      </c>
      <c r="G1226" s="19" t="s">
        <v>7909</v>
      </c>
      <c r="H1226" s="11" t="s">
        <v>3770</v>
      </c>
      <c r="I1226" s="21">
        <f t="shared" si="17"/>
        <v>-25.416666666666668</v>
      </c>
      <c r="J1226" s="21">
        <f t="shared" si="18"/>
        <v>30.166666666666668</v>
      </c>
      <c r="K1226" s="82" t="s">
        <v>2276</v>
      </c>
      <c r="L1226" s="11">
        <v>2007</v>
      </c>
      <c r="M1226" s="11">
        <v>2009</v>
      </c>
      <c r="N1226" s="82" t="s">
        <v>2276</v>
      </c>
      <c r="O1226" s="19" t="s">
        <v>67</v>
      </c>
      <c r="P1226" s="19" t="s">
        <v>5187</v>
      </c>
      <c r="Q1226" s="204"/>
    </row>
    <row r="1227" spans="1:17" ht="32" customHeight="1">
      <c r="A1227" s="213">
        <v>311</v>
      </c>
      <c r="B1227" s="40" t="s">
        <v>7907</v>
      </c>
      <c r="C1227" s="19" t="s">
        <v>7913</v>
      </c>
      <c r="D1227" s="204" t="s">
        <v>2398</v>
      </c>
      <c r="E1227" s="204" t="s">
        <v>2399</v>
      </c>
      <c r="F1227" s="204" t="s">
        <v>7918</v>
      </c>
      <c r="G1227" s="19" t="s">
        <v>7909</v>
      </c>
      <c r="H1227" s="11" t="s">
        <v>3770</v>
      </c>
      <c r="I1227" s="21">
        <f t="shared" si="17"/>
        <v>-25.416666666666668</v>
      </c>
      <c r="J1227" s="21">
        <f t="shared" si="18"/>
        <v>30.166666666666668</v>
      </c>
      <c r="K1227" s="82" t="s">
        <v>2276</v>
      </c>
      <c r="L1227" s="11">
        <v>2007</v>
      </c>
      <c r="M1227" s="11">
        <v>2009</v>
      </c>
      <c r="N1227" s="82" t="s">
        <v>2276</v>
      </c>
      <c r="O1227" s="19" t="s">
        <v>67</v>
      </c>
      <c r="P1227" s="19" t="s">
        <v>5187</v>
      </c>
      <c r="Q1227" s="204"/>
    </row>
    <row r="1228" spans="1:17" ht="32" customHeight="1">
      <c r="A1228" s="213">
        <v>311</v>
      </c>
      <c r="B1228" s="40" t="s">
        <v>7907</v>
      </c>
      <c r="C1228" s="19" t="s">
        <v>7914</v>
      </c>
      <c r="D1228" s="204" t="s">
        <v>2398</v>
      </c>
      <c r="E1228" s="204" t="s">
        <v>2399</v>
      </c>
      <c r="F1228" s="19" t="s">
        <v>7910</v>
      </c>
      <c r="G1228" s="19" t="s">
        <v>7909</v>
      </c>
      <c r="H1228" s="11" t="s">
        <v>3770</v>
      </c>
      <c r="I1228" s="21">
        <f t="shared" si="17"/>
        <v>-25.416666666666668</v>
      </c>
      <c r="J1228" s="21">
        <f t="shared" si="18"/>
        <v>30.166666666666668</v>
      </c>
      <c r="K1228" s="82" t="s">
        <v>2276</v>
      </c>
      <c r="L1228" s="11">
        <v>2007</v>
      </c>
      <c r="M1228" s="11">
        <v>2009</v>
      </c>
      <c r="N1228" s="82" t="s">
        <v>2276</v>
      </c>
      <c r="O1228" s="19" t="s">
        <v>67</v>
      </c>
      <c r="P1228" s="19" t="s">
        <v>5187</v>
      </c>
      <c r="Q1228" s="204"/>
    </row>
    <row r="1229" spans="1:17" ht="32" customHeight="1">
      <c r="A1229" s="213">
        <v>311</v>
      </c>
      <c r="B1229" s="40" t="s">
        <v>7907</v>
      </c>
      <c r="C1229" s="19" t="s">
        <v>7915</v>
      </c>
      <c r="D1229" s="204" t="s">
        <v>2398</v>
      </c>
      <c r="E1229" s="204" t="s">
        <v>2399</v>
      </c>
      <c r="F1229" s="19" t="s">
        <v>7910</v>
      </c>
      <c r="G1229" s="19" t="s">
        <v>7909</v>
      </c>
      <c r="H1229" s="11" t="s">
        <v>3770</v>
      </c>
      <c r="I1229" s="21">
        <f t="shared" si="17"/>
        <v>-25.416666666666668</v>
      </c>
      <c r="J1229" s="21">
        <f t="shared" si="18"/>
        <v>30.166666666666668</v>
      </c>
      <c r="K1229" s="82" t="s">
        <v>2276</v>
      </c>
      <c r="L1229" s="11">
        <v>2007</v>
      </c>
      <c r="M1229" s="11">
        <v>2009</v>
      </c>
      <c r="N1229" s="82" t="s">
        <v>2276</v>
      </c>
      <c r="O1229" s="19" t="s">
        <v>67</v>
      </c>
      <c r="P1229" s="19" t="s">
        <v>5187</v>
      </c>
      <c r="Q1229" s="204"/>
    </row>
    <row r="1230" spans="1:17" ht="32" customHeight="1">
      <c r="A1230" s="213">
        <v>311</v>
      </c>
      <c r="B1230" s="40" t="s">
        <v>7907</v>
      </c>
      <c r="C1230" s="19" t="s">
        <v>7916</v>
      </c>
      <c r="D1230" s="204" t="s">
        <v>2398</v>
      </c>
      <c r="E1230" s="204" t="s">
        <v>2399</v>
      </c>
      <c r="F1230" s="19" t="s">
        <v>7910</v>
      </c>
      <c r="G1230" s="19" t="s">
        <v>7909</v>
      </c>
      <c r="H1230" s="11" t="s">
        <v>3770</v>
      </c>
      <c r="I1230" s="21">
        <f t="shared" si="17"/>
        <v>-25.416666666666668</v>
      </c>
      <c r="J1230" s="21">
        <f t="shared" si="18"/>
        <v>30.166666666666668</v>
      </c>
      <c r="K1230" s="82" t="s">
        <v>2276</v>
      </c>
      <c r="L1230" s="11">
        <v>2007</v>
      </c>
      <c r="M1230" s="11">
        <v>2009</v>
      </c>
      <c r="N1230" s="82" t="s">
        <v>2276</v>
      </c>
      <c r="O1230" s="19" t="s">
        <v>67</v>
      </c>
      <c r="P1230" s="19" t="s">
        <v>5187</v>
      </c>
      <c r="Q1230" s="204"/>
    </row>
    <row r="1231" spans="1:17" ht="32" customHeight="1">
      <c r="A1231" s="213">
        <v>311</v>
      </c>
      <c r="B1231" s="40" t="s">
        <v>7907</v>
      </c>
      <c r="C1231" s="19" t="s">
        <v>7917</v>
      </c>
      <c r="D1231" s="204" t="s">
        <v>2398</v>
      </c>
      <c r="E1231" s="204" t="s">
        <v>2399</v>
      </c>
      <c r="F1231" s="19" t="s">
        <v>7910</v>
      </c>
      <c r="G1231" s="19" t="s">
        <v>7909</v>
      </c>
      <c r="H1231" s="11" t="s">
        <v>3770</v>
      </c>
      <c r="I1231" s="21">
        <f t="shared" si="17"/>
        <v>-25.416666666666668</v>
      </c>
      <c r="J1231" s="21">
        <f t="shared" si="18"/>
        <v>30.166666666666668</v>
      </c>
      <c r="K1231" s="82" t="s">
        <v>2276</v>
      </c>
      <c r="L1231" s="11">
        <v>2007</v>
      </c>
      <c r="M1231" s="11">
        <v>2009</v>
      </c>
      <c r="N1231" s="82" t="s">
        <v>2276</v>
      </c>
      <c r="O1231" s="19" t="s">
        <v>67</v>
      </c>
      <c r="P1231" s="19" t="s">
        <v>5187</v>
      </c>
      <c r="Q1231" s="204"/>
    </row>
    <row r="1232" spans="1:17" ht="32.5" customHeight="1">
      <c r="A1232" s="31">
        <v>312</v>
      </c>
      <c r="B1232" s="40" t="s">
        <v>7934</v>
      </c>
      <c r="C1232" s="204" t="s">
        <v>7931</v>
      </c>
      <c r="D1232" s="204" t="s">
        <v>2398</v>
      </c>
      <c r="E1232" s="204" t="s">
        <v>2422</v>
      </c>
      <c r="F1232" s="19" t="s">
        <v>7933</v>
      </c>
      <c r="G1232" s="4" t="s">
        <v>7932</v>
      </c>
      <c r="H1232" s="11" t="s">
        <v>88</v>
      </c>
      <c r="I1232" s="21">
        <f>8+37.5/60</f>
        <v>8.625</v>
      </c>
      <c r="J1232" s="21">
        <f>77 + 27.5/60</f>
        <v>77.458333333333329</v>
      </c>
      <c r="K1232" s="21">
        <v>60</v>
      </c>
      <c r="L1232" s="204">
        <v>1978</v>
      </c>
      <c r="M1232" s="204">
        <v>1999</v>
      </c>
      <c r="N1232" s="82" t="s">
        <v>2276</v>
      </c>
      <c r="O1232" s="19" t="s">
        <v>67</v>
      </c>
      <c r="P1232" s="19" t="s">
        <v>5187</v>
      </c>
      <c r="Q1232" s="204"/>
    </row>
    <row r="1233" spans="1:17" ht="47.5" customHeight="1">
      <c r="A1233" s="213">
        <v>313</v>
      </c>
      <c r="B1233" s="40" t="s">
        <v>7945</v>
      </c>
      <c r="C1233" s="19" t="s">
        <v>7940</v>
      </c>
      <c r="D1233" s="204" t="s">
        <v>2398</v>
      </c>
      <c r="E1233" s="204" t="s">
        <v>2405</v>
      </c>
      <c r="F1233" s="204" t="s">
        <v>7951</v>
      </c>
      <c r="G1233" s="204" t="s">
        <v>7956</v>
      </c>
      <c r="H1233" s="204" t="s">
        <v>6325</v>
      </c>
      <c r="I1233" s="21">
        <v>51.761150399999998</v>
      </c>
      <c r="J1233" s="21">
        <v>50.8381112</v>
      </c>
      <c r="K1233" s="21">
        <v>623.70000000000005</v>
      </c>
      <c r="L1233" s="204">
        <v>1984</v>
      </c>
      <c r="M1233" s="204">
        <v>1991</v>
      </c>
      <c r="N1233" s="82" t="s">
        <v>2276</v>
      </c>
      <c r="O1233" s="19" t="s">
        <v>67</v>
      </c>
      <c r="P1233" s="19" t="s">
        <v>5187</v>
      </c>
      <c r="Q1233" s="4" t="s">
        <v>7974</v>
      </c>
    </row>
    <row r="1234" spans="1:17" ht="47.5" customHeight="1">
      <c r="A1234" s="213">
        <v>313</v>
      </c>
      <c r="B1234" s="40" t="s">
        <v>7945</v>
      </c>
      <c r="C1234" s="19" t="s">
        <v>7941</v>
      </c>
      <c r="D1234" s="204" t="s">
        <v>2398</v>
      </c>
      <c r="E1234" s="204" t="s">
        <v>2405</v>
      </c>
      <c r="F1234" s="204" t="s">
        <v>7952</v>
      </c>
      <c r="G1234" s="204" t="s">
        <v>7956</v>
      </c>
      <c r="H1234" s="204" t="s">
        <v>6325</v>
      </c>
      <c r="I1234" s="21">
        <v>51.194652699999999</v>
      </c>
      <c r="J1234" s="21">
        <v>56.697021100000001</v>
      </c>
      <c r="K1234" s="21">
        <v>1203.9000000000001</v>
      </c>
      <c r="L1234" s="204">
        <v>1984</v>
      </c>
      <c r="M1234" s="204">
        <v>1991</v>
      </c>
      <c r="N1234" s="82" t="s">
        <v>2276</v>
      </c>
      <c r="O1234" s="19" t="s">
        <v>67</v>
      </c>
      <c r="P1234" s="19" t="s">
        <v>5187</v>
      </c>
      <c r="Q1234" s="4" t="s">
        <v>7974</v>
      </c>
    </row>
    <row r="1235" spans="1:17" ht="47.5" customHeight="1">
      <c r="A1235" s="213">
        <v>313</v>
      </c>
      <c r="B1235" s="40" t="s">
        <v>7945</v>
      </c>
      <c r="C1235" s="19" t="s">
        <v>7942</v>
      </c>
      <c r="D1235" s="204" t="s">
        <v>2398</v>
      </c>
      <c r="E1235" s="204" t="s">
        <v>2405</v>
      </c>
      <c r="F1235" s="204" t="s">
        <v>7954</v>
      </c>
      <c r="G1235" s="204" t="s">
        <v>7956</v>
      </c>
      <c r="H1235" s="204" t="s">
        <v>6325</v>
      </c>
      <c r="I1235" s="21">
        <v>50.7574933</v>
      </c>
      <c r="J1235" s="21">
        <v>57.497679699999999</v>
      </c>
      <c r="K1235" s="21">
        <v>736.6</v>
      </c>
      <c r="L1235" s="204">
        <v>1984</v>
      </c>
      <c r="M1235" s="204">
        <v>1991</v>
      </c>
      <c r="N1235" s="82" t="s">
        <v>2276</v>
      </c>
      <c r="O1235" s="19" t="s">
        <v>67</v>
      </c>
      <c r="P1235" s="19" t="s">
        <v>5187</v>
      </c>
      <c r="Q1235" s="4" t="s">
        <v>7974</v>
      </c>
    </row>
    <row r="1236" spans="1:17" ht="47.5" customHeight="1">
      <c r="A1236" s="213">
        <v>313</v>
      </c>
      <c r="B1236" s="40" t="s">
        <v>7945</v>
      </c>
      <c r="C1236" s="19" t="s">
        <v>7943</v>
      </c>
      <c r="D1236" s="204" t="s">
        <v>2398</v>
      </c>
      <c r="E1236" s="204" t="s">
        <v>2405</v>
      </c>
      <c r="F1236" s="204" t="s">
        <v>7953</v>
      </c>
      <c r="G1236" s="204" t="s">
        <v>7956</v>
      </c>
      <c r="H1236" s="204" t="s">
        <v>6325</v>
      </c>
      <c r="I1236" s="21">
        <v>50.923503199999999</v>
      </c>
      <c r="J1236" s="21">
        <v>55.386643200000002</v>
      </c>
      <c r="K1236" s="21">
        <v>1216.2</v>
      </c>
      <c r="L1236" s="204">
        <v>1984</v>
      </c>
      <c r="M1236" s="204">
        <v>1991</v>
      </c>
      <c r="N1236" s="82" t="s">
        <v>2276</v>
      </c>
      <c r="O1236" s="19" t="s">
        <v>67</v>
      </c>
      <c r="P1236" s="19" t="s">
        <v>5187</v>
      </c>
      <c r="Q1236" s="4" t="s">
        <v>7974</v>
      </c>
    </row>
    <row r="1237" spans="1:17" ht="47.5" customHeight="1">
      <c r="A1237" s="213">
        <v>313</v>
      </c>
      <c r="B1237" s="40" t="s">
        <v>7945</v>
      </c>
      <c r="C1237" s="19" t="s">
        <v>7944</v>
      </c>
      <c r="D1237" s="204" t="s">
        <v>2398</v>
      </c>
      <c r="E1237" s="204" t="s">
        <v>2405</v>
      </c>
      <c r="F1237" s="204" t="s">
        <v>7955</v>
      </c>
      <c r="G1237" s="204" t="s">
        <v>7956</v>
      </c>
      <c r="H1237" s="204" t="s">
        <v>6325</v>
      </c>
      <c r="I1237" s="21">
        <v>50.550775899999998</v>
      </c>
      <c r="J1237" s="21">
        <v>60.494869000000001</v>
      </c>
      <c r="K1237" s="21">
        <v>1316</v>
      </c>
      <c r="L1237" s="204">
        <v>1984</v>
      </c>
      <c r="M1237" s="204">
        <v>1991</v>
      </c>
      <c r="N1237" s="82" t="s">
        <v>2276</v>
      </c>
      <c r="O1237" s="19" t="s">
        <v>67</v>
      </c>
      <c r="P1237" s="19" t="s">
        <v>5187</v>
      </c>
      <c r="Q1237" s="4" t="s">
        <v>7974</v>
      </c>
    </row>
    <row r="1238" spans="1:17" ht="47.5" customHeight="1">
      <c r="A1238" s="213">
        <v>313</v>
      </c>
      <c r="B1238" s="40" t="s">
        <v>7945</v>
      </c>
      <c r="C1238" s="19" t="s">
        <v>7946</v>
      </c>
      <c r="D1238" s="204" t="s">
        <v>2398</v>
      </c>
      <c r="E1238" s="204" t="s">
        <v>2405</v>
      </c>
      <c r="F1238" s="204" t="s">
        <v>7951</v>
      </c>
      <c r="G1238" s="204" t="s">
        <v>7956</v>
      </c>
      <c r="H1238" s="204" t="s">
        <v>6325</v>
      </c>
      <c r="I1238" s="21">
        <v>51.761150399999998</v>
      </c>
      <c r="J1238" s="21">
        <v>50.8381112</v>
      </c>
      <c r="K1238" s="21">
        <v>623.70000000000005</v>
      </c>
      <c r="L1238" s="204">
        <v>1992</v>
      </c>
      <c r="M1238" s="204">
        <v>2015</v>
      </c>
      <c r="N1238" s="82" t="s">
        <v>2276</v>
      </c>
      <c r="O1238" s="19" t="s">
        <v>67</v>
      </c>
      <c r="P1238" s="19" t="s">
        <v>5187</v>
      </c>
      <c r="Q1238" s="4" t="s">
        <v>7974</v>
      </c>
    </row>
    <row r="1239" spans="1:17" ht="47.5" customHeight="1">
      <c r="A1239" s="213">
        <v>313</v>
      </c>
      <c r="B1239" s="40" t="s">
        <v>7945</v>
      </c>
      <c r="C1239" s="19" t="s">
        <v>7947</v>
      </c>
      <c r="D1239" s="204" t="s">
        <v>2398</v>
      </c>
      <c r="E1239" s="204" t="s">
        <v>2405</v>
      </c>
      <c r="F1239" s="204" t="s">
        <v>7952</v>
      </c>
      <c r="G1239" s="204" t="s">
        <v>7956</v>
      </c>
      <c r="H1239" s="204" t="s">
        <v>6325</v>
      </c>
      <c r="I1239" s="21">
        <v>51.194652699999999</v>
      </c>
      <c r="J1239" s="21">
        <v>56.697021100000001</v>
      </c>
      <c r="K1239" s="21">
        <v>1203.9000000000001</v>
      </c>
      <c r="L1239" s="204">
        <v>1992</v>
      </c>
      <c r="M1239" s="204">
        <v>2015</v>
      </c>
      <c r="N1239" s="82" t="s">
        <v>2276</v>
      </c>
      <c r="O1239" s="19" t="s">
        <v>67</v>
      </c>
      <c r="P1239" s="19" t="s">
        <v>5187</v>
      </c>
      <c r="Q1239" s="4" t="s">
        <v>7974</v>
      </c>
    </row>
    <row r="1240" spans="1:17" ht="47.5" customHeight="1">
      <c r="A1240" s="213">
        <v>313</v>
      </c>
      <c r="B1240" s="40" t="s">
        <v>7945</v>
      </c>
      <c r="C1240" s="19" t="s">
        <v>7948</v>
      </c>
      <c r="D1240" s="204" t="s">
        <v>2398</v>
      </c>
      <c r="E1240" s="204" t="s">
        <v>2405</v>
      </c>
      <c r="F1240" s="204" t="s">
        <v>7954</v>
      </c>
      <c r="G1240" s="204" t="s">
        <v>7956</v>
      </c>
      <c r="H1240" s="204" t="s">
        <v>6325</v>
      </c>
      <c r="I1240" s="21">
        <v>50.7574933</v>
      </c>
      <c r="J1240" s="21">
        <v>57.497679699999999</v>
      </c>
      <c r="K1240" s="21">
        <v>736.6</v>
      </c>
      <c r="L1240" s="204">
        <v>1992</v>
      </c>
      <c r="M1240" s="204">
        <v>2015</v>
      </c>
      <c r="N1240" s="82" t="s">
        <v>2276</v>
      </c>
      <c r="O1240" s="19" t="s">
        <v>67</v>
      </c>
      <c r="P1240" s="19" t="s">
        <v>5187</v>
      </c>
      <c r="Q1240" s="4" t="s">
        <v>7974</v>
      </c>
    </row>
    <row r="1241" spans="1:17" ht="47.5" customHeight="1">
      <c r="A1241" s="213">
        <v>313</v>
      </c>
      <c r="B1241" s="40" t="s">
        <v>7945</v>
      </c>
      <c r="C1241" s="19" t="s">
        <v>7949</v>
      </c>
      <c r="D1241" s="204" t="s">
        <v>2398</v>
      </c>
      <c r="E1241" s="204" t="s">
        <v>2405</v>
      </c>
      <c r="F1241" s="204" t="s">
        <v>7953</v>
      </c>
      <c r="G1241" s="204" t="s">
        <v>7956</v>
      </c>
      <c r="H1241" s="204" t="s">
        <v>6325</v>
      </c>
      <c r="I1241" s="21">
        <v>50.923503199999999</v>
      </c>
      <c r="J1241" s="21">
        <v>55.386643200000002</v>
      </c>
      <c r="K1241" s="21">
        <v>1216.2</v>
      </c>
      <c r="L1241" s="204">
        <v>1992</v>
      </c>
      <c r="M1241" s="204">
        <v>2015</v>
      </c>
      <c r="N1241" s="82" t="s">
        <v>2276</v>
      </c>
      <c r="O1241" s="19" t="s">
        <v>67</v>
      </c>
      <c r="P1241" s="19" t="s">
        <v>5187</v>
      </c>
      <c r="Q1241" s="4" t="s">
        <v>7974</v>
      </c>
    </row>
    <row r="1242" spans="1:17" ht="47.5" customHeight="1">
      <c r="A1242" s="213">
        <v>313</v>
      </c>
      <c r="B1242" s="40" t="s">
        <v>7945</v>
      </c>
      <c r="C1242" s="19" t="s">
        <v>7950</v>
      </c>
      <c r="D1242" s="204" t="s">
        <v>2398</v>
      </c>
      <c r="E1242" s="204" t="s">
        <v>2405</v>
      </c>
      <c r="F1242" s="204" t="s">
        <v>7955</v>
      </c>
      <c r="G1242" s="204" t="s">
        <v>7956</v>
      </c>
      <c r="H1242" s="204" t="s">
        <v>6325</v>
      </c>
      <c r="I1242" s="21">
        <v>50.550775899999998</v>
      </c>
      <c r="J1242" s="21">
        <v>60.494869000000001</v>
      </c>
      <c r="K1242" s="21">
        <v>1316</v>
      </c>
      <c r="L1242" s="204">
        <v>1992</v>
      </c>
      <c r="M1242" s="204">
        <v>2015</v>
      </c>
      <c r="N1242" s="82" t="s">
        <v>2276</v>
      </c>
      <c r="O1242" s="19" t="s">
        <v>67</v>
      </c>
      <c r="P1242" s="19" t="s">
        <v>5187</v>
      </c>
      <c r="Q1242" s="4" t="s">
        <v>7974</v>
      </c>
    </row>
    <row r="1243" spans="1:17" ht="49.5" customHeight="1">
      <c r="A1243" s="213">
        <v>314</v>
      </c>
      <c r="B1243" s="40" t="s">
        <v>7975</v>
      </c>
      <c r="C1243" s="19" t="s">
        <v>7976</v>
      </c>
      <c r="D1243" s="204" t="s">
        <v>2398</v>
      </c>
      <c r="E1243" s="204" t="s">
        <v>2405</v>
      </c>
      <c r="F1243" s="11" t="s">
        <v>2276</v>
      </c>
      <c r="G1243" s="11" t="s">
        <v>7978</v>
      </c>
      <c r="H1243" s="11" t="s">
        <v>7979</v>
      </c>
      <c r="I1243" s="21">
        <v>49.209090799999998</v>
      </c>
      <c r="J1243" s="21">
        <v>66.233013</v>
      </c>
      <c r="K1243" s="21">
        <v>540000</v>
      </c>
      <c r="L1243" s="204">
        <v>1990</v>
      </c>
      <c r="M1243" s="204">
        <v>1990</v>
      </c>
      <c r="N1243" s="82" t="s">
        <v>2276</v>
      </c>
      <c r="O1243" s="19" t="s">
        <v>67</v>
      </c>
      <c r="P1243" s="19" t="s">
        <v>5187</v>
      </c>
      <c r="Q1243" s="19" t="s">
        <v>7974</v>
      </c>
    </row>
    <row r="1244" spans="1:17" ht="53" customHeight="1">
      <c r="A1244" s="213">
        <v>314</v>
      </c>
      <c r="B1244" s="40" t="s">
        <v>7975</v>
      </c>
      <c r="C1244" s="19" t="s">
        <v>7977</v>
      </c>
      <c r="D1244" s="204" t="s">
        <v>2398</v>
      </c>
      <c r="E1244" s="204" t="s">
        <v>2405</v>
      </c>
      <c r="F1244" s="11" t="s">
        <v>2276</v>
      </c>
      <c r="G1244" s="11" t="s">
        <v>7978</v>
      </c>
      <c r="H1244" s="11" t="s">
        <v>7979</v>
      </c>
      <c r="I1244" s="21">
        <v>49.209090799999998</v>
      </c>
      <c r="J1244" s="21">
        <v>66.233013</v>
      </c>
      <c r="K1244" s="21">
        <v>540000</v>
      </c>
      <c r="L1244" s="204">
        <v>2010</v>
      </c>
      <c r="M1244" s="204">
        <v>2015</v>
      </c>
      <c r="N1244" s="82" t="s">
        <v>2276</v>
      </c>
      <c r="O1244" s="19" t="s">
        <v>67</v>
      </c>
      <c r="P1244" s="19" t="s">
        <v>5187</v>
      </c>
      <c r="Q1244" s="19" t="s">
        <v>7974</v>
      </c>
    </row>
    <row r="1245" spans="1:17" ht="39" customHeight="1">
      <c r="A1245" s="213">
        <v>315</v>
      </c>
      <c r="B1245" s="40" t="s">
        <v>7990</v>
      </c>
      <c r="C1245" s="19" t="s">
        <v>7991</v>
      </c>
      <c r="D1245" s="204" t="s">
        <v>2398</v>
      </c>
      <c r="E1245" s="204" t="s">
        <v>4847</v>
      </c>
      <c r="F1245" s="11" t="s">
        <v>2276</v>
      </c>
      <c r="G1245" s="11" t="s">
        <v>7992</v>
      </c>
      <c r="H1245" s="11" t="s">
        <v>4112</v>
      </c>
      <c r="I1245" s="21">
        <v>31.168934</v>
      </c>
      <c r="J1245" s="21">
        <v>-100.0768425</v>
      </c>
      <c r="K1245" s="21">
        <v>695662</v>
      </c>
      <c r="L1245" s="11">
        <v>1989</v>
      </c>
      <c r="M1245" s="11">
        <v>1989</v>
      </c>
      <c r="N1245" s="82" t="s">
        <v>2276</v>
      </c>
      <c r="O1245" s="19" t="s">
        <v>67</v>
      </c>
      <c r="P1245" s="19" t="s">
        <v>5187</v>
      </c>
      <c r="Q1245" s="204"/>
    </row>
    <row r="1246" spans="1:17" ht="40" customHeight="1">
      <c r="A1246" s="213">
        <v>316</v>
      </c>
      <c r="B1246" s="40" t="s">
        <v>7999</v>
      </c>
      <c r="C1246" s="19" t="s">
        <v>8000</v>
      </c>
      <c r="D1246" s="204" t="s">
        <v>2398</v>
      </c>
      <c r="E1246" s="204" t="s">
        <v>2399</v>
      </c>
      <c r="F1246" s="11" t="s">
        <v>8004</v>
      </c>
      <c r="G1246" s="11" t="s">
        <v>8002</v>
      </c>
      <c r="H1246" s="11" t="s">
        <v>4112</v>
      </c>
      <c r="I1246" s="21">
        <v>41.059414599999997</v>
      </c>
      <c r="J1246" s="21">
        <v>-115.52958649999999</v>
      </c>
      <c r="K1246" s="11" t="s">
        <v>2276</v>
      </c>
      <c r="L1246" s="204">
        <v>2006</v>
      </c>
      <c r="M1246" s="204">
        <v>2006</v>
      </c>
      <c r="N1246" s="82" t="s">
        <v>2276</v>
      </c>
      <c r="O1246" s="19" t="s">
        <v>67</v>
      </c>
      <c r="P1246" s="19" t="s">
        <v>5187</v>
      </c>
      <c r="Q1246" s="204"/>
    </row>
    <row r="1247" spans="1:17" ht="40" customHeight="1">
      <c r="A1247" s="213">
        <v>316</v>
      </c>
      <c r="B1247" s="40" t="s">
        <v>7999</v>
      </c>
      <c r="C1247" s="19" t="s">
        <v>8006</v>
      </c>
      <c r="D1247" s="204" t="s">
        <v>2398</v>
      </c>
      <c r="E1247" s="204" t="s">
        <v>2399</v>
      </c>
      <c r="F1247" s="11" t="s">
        <v>8001</v>
      </c>
      <c r="G1247" s="11" t="s">
        <v>6383</v>
      </c>
      <c r="H1247" s="11" t="s">
        <v>4112</v>
      </c>
      <c r="I1247" s="21">
        <v>42.805290999999997</v>
      </c>
      <c r="J1247" s="21">
        <v>-120.35529459999999</v>
      </c>
      <c r="K1247" s="11" t="s">
        <v>2276</v>
      </c>
      <c r="L1247" s="204">
        <v>2006</v>
      </c>
      <c r="M1247" s="204">
        <v>2006</v>
      </c>
      <c r="N1247" s="82" t="s">
        <v>2276</v>
      </c>
      <c r="O1247" s="19" t="s">
        <v>67</v>
      </c>
      <c r="P1247" s="19" t="s">
        <v>5187</v>
      </c>
      <c r="Q1247" s="204"/>
    </row>
    <row r="1248" spans="1:17" ht="40" customHeight="1">
      <c r="A1248" s="213">
        <v>316</v>
      </c>
      <c r="B1248" s="40" t="s">
        <v>7999</v>
      </c>
      <c r="C1248" s="19" t="s">
        <v>8007</v>
      </c>
      <c r="D1248" s="204" t="s">
        <v>2398</v>
      </c>
      <c r="E1248" s="204" t="s">
        <v>2399</v>
      </c>
      <c r="F1248" s="11" t="s">
        <v>8005</v>
      </c>
      <c r="G1248" s="11" t="s">
        <v>8003</v>
      </c>
      <c r="H1248" s="11" t="s">
        <v>4112</v>
      </c>
      <c r="I1248" s="21">
        <v>39.064330499999997</v>
      </c>
      <c r="J1248" s="21">
        <v>-113.032141</v>
      </c>
      <c r="K1248" s="11" t="s">
        <v>2276</v>
      </c>
      <c r="L1248" s="204">
        <v>2006</v>
      </c>
      <c r="M1248" s="204">
        <v>2006</v>
      </c>
      <c r="N1248" s="82" t="s">
        <v>2276</v>
      </c>
      <c r="O1248" s="19" t="s">
        <v>67</v>
      </c>
      <c r="P1248" s="19" t="s">
        <v>5187</v>
      </c>
      <c r="Q1248" s="204"/>
    </row>
    <row r="1249" spans="1:17" ht="35.5" customHeight="1">
      <c r="A1249" s="219">
        <v>317</v>
      </c>
      <c r="B1249" s="54" t="s">
        <v>8012</v>
      </c>
      <c r="C1249" s="55" t="s">
        <v>8013</v>
      </c>
      <c r="D1249" s="38" t="s">
        <v>2398</v>
      </c>
      <c r="E1249" s="38" t="s">
        <v>2399</v>
      </c>
      <c r="F1249" s="11" t="s">
        <v>2276</v>
      </c>
      <c r="G1249" s="204" t="s">
        <v>8014</v>
      </c>
      <c r="H1249" s="38" t="s">
        <v>4051</v>
      </c>
      <c r="I1249" s="73">
        <v>38.365554500000002</v>
      </c>
      <c r="J1249" s="73">
        <v>23.090027500000001</v>
      </c>
      <c r="K1249" s="73">
        <f>295200/100</f>
        <v>2952</v>
      </c>
      <c r="L1249" s="38">
        <v>2008</v>
      </c>
      <c r="M1249" s="38">
        <v>2008</v>
      </c>
      <c r="N1249" s="220">
        <f>123913/K1249</f>
        <v>41.975948509485093</v>
      </c>
      <c r="O1249" s="55" t="s">
        <v>67</v>
      </c>
      <c r="P1249" s="55" t="s">
        <v>5187</v>
      </c>
      <c r="Q1249" s="38"/>
    </row>
    <row r="1250" spans="1:17" ht="42" customHeight="1">
      <c r="A1250" s="213">
        <v>318</v>
      </c>
      <c r="B1250" s="40" t="s">
        <v>8018</v>
      </c>
      <c r="C1250" s="19" t="s">
        <v>8019</v>
      </c>
      <c r="D1250" s="204" t="s">
        <v>2398</v>
      </c>
      <c r="E1250" s="204" t="s">
        <v>2399</v>
      </c>
      <c r="F1250" s="204" t="s">
        <v>8022</v>
      </c>
      <c r="G1250" s="204" t="s">
        <v>8021</v>
      </c>
      <c r="H1250" s="11" t="s">
        <v>121</v>
      </c>
      <c r="I1250" s="21">
        <v>-28.203432500000002</v>
      </c>
      <c r="J1250" s="21">
        <v>-49.524720600000002</v>
      </c>
      <c r="K1250" s="21">
        <f>(49300-12000)/100</f>
        <v>373</v>
      </c>
      <c r="L1250" s="204">
        <v>2016</v>
      </c>
      <c r="M1250" s="204">
        <v>2016</v>
      </c>
      <c r="N1250" s="82" t="s">
        <v>2276</v>
      </c>
      <c r="O1250" s="55" t="s">
        <v>67</v>
      </c>
      <c r="P1250" s="55" t="s">
        <v>5187</v>
      </c>
      <c r="Q1250" s="204"/>
    </row>
    <row r="1251" spans="1:17" ht="38" customHeight="1">
      <c r="A1251" s="213">
        <v>318</v>
      </c>
      <c r="B1251" s="40" t="s">
        <v>8018</v>
      </c>
      <c r="C1251" s="19" t="s">
        <v>8020</v>
      </c>
      <c r="D1251" s="204" t="s">
        <v>2398</v>
      </c>
      <c r="E1251" s="204" t="s">
        <v>2399</v>
      </c>
      <c r="F1251" s="204" t="s">
        <v>8022</v>
      </c>
      <c r="G1251" s="204" t="s">
        <v>8021</v>
      </c>
      <c r="H1251" s="11" t="s">
        <v>121</v>
      </c>
      <c r="I1251" s="21">
        <v>-28.203432500000002</v>
      </c>
      <c r="J1251" s="21">
        <v>-49.524720600000002</v>
      </c>
      <c r="K1251" s="21">
        <f>12000/100</f>
        <v>120</v>
      </c>
      <c r="L1251" s="204">
        <v>2016</v>
      </c>
      <c r="M1251" s="204">
        <v>2016</v>
      </c>
      <c r="N1251" s="82" t="s">
        <v>2276</v>
      </c>
      <c r="O1251" s="55" t="s">
        <v>67</v>
      </c>
      <c r="P1251" s="55" t="s">
        <v>5187</v>
      </c>
      <c r="Q1251" s="204"/>
    </row>
    <row r="1252" spans="1:17" ht="32" customHeight="1">
      <c r="A1252" s="213">
        <v>319</v>
      </c>
      <c r="B1252" s="40" t="s">
        <v>8029</v>
      </c>
      <c r="C1252" s="19" t="s">
        <v>8030</v>
      </c>
      <c r="D1252" s="204" t="s">
        <v>2398</v>
      </c>
      <c r="E1252" s="204" t="s">
        <v>2399</v>
      </c>
      <c r="F1252" s="11" t="s">
        <v>8031</v>
      </c>
      <c r="G1252" s="11" t="s">
        <v>2276</v>
      </c>
      <c r="H1252" s="11" t="s">
        <v>121</v>
      </c>
      <c r="I1252" s="21">
        <v>-13.3238237</v>
      </c>
      <c r="J1252" s="21">
        <v>-51.679792200000001</v>
      </c>
      <c r="K1252" s="74" t="s">
        <v>2276</v>
      </c>
      <c r="L1252" s="11">
        <v>2005</v>
      </c>
      <c r="M1252" s="11">
        <v>2005</v>
      </c>
      <c r="N1252" s="82" t="s">
        <v>2276</v>
      </c>
      <c r="O1252" s="19" t="s">
        <v>67</v>
      </c>
      <c r="P1252" s="19" t="s">
        <v>5187</v>
      </c>
      <c r="Q1252" s="204" t="s">
        <v>4663</v>
      </c>
    </row>
    <row r="1253" spans="1:17" ht="32" customHeight="1">
      <c r="A1253" s="213">
        <v>320</v>
      </c>
      <c r="B1253" s="40" t="s">
        <v>8037</v>
      </c>
      <c r="C1253" s="19" t="s">
        <v>8038</v>
      </c>
      <c r="D1253" s="204" t="s">
        <v>2398</v>
      </c>
      <c r="E1253" s="204" t="s">
        <v>2636</v>
      </c>
      <c r="F1253" s="11" t="s">
        <v>2276</v>
      </c>
      <c r="G1253" s="204" t="s">
        <v>8039</v>
      </c>
      <c r="H1253" s="204" t="s">
        <v>4112</v>
      </c>
      <c r="I1253" s="21">
        <v>41.500819499999999</v>
      </c>
      <c r="J1253" s="21">
        <v>-99.680902000000003</v>
      </c>
      <c r="K1253" s="74" t="s">
        <v>2276</v>
      </c>
      <c r="L1253" s="204">
        <v>2013</v>
      </c>
      <c r="M1253" s="204">
        <v>2013</v>
      </c>
      <c r="N1253" s="82" t="s">
        <v>2276</v>
      </c>
      <c r="O1253" s="19" t="s">
        <v>67</v>
      </c>
      <c r="P1253" s="19" t="s">
        <v>5187</v>
      </c>
      <c r="Q1253" s="204"/>
    </row>
    <row r="1254" spans="1:17" ht="35.5" customHeight="1">
      <c r="A1254" s="213">
        <v>320</v>
      </c>
      <c r="B1254" s="40" t="s">
        <v>8037</v>
      </c>
      <c r="C1254" s="19" t="s">
        <v>8040</v>
      </c>
      <c r="D1254" s="204" t="s">
        <v>2398</v>
      </c>
      <c r="E1254" s="204" t="s">
        <v>2636</v>
      </c>
      <c r="F1254" s="11" t="s">
        <v>2276</v>
      </c>
      <c r="G1254" s="204" t="s">
        <v>8054</v>
      </c>
      <c r="H1254" s="204" t="s">
        <v>4112</v>
      </c>
      <c r="I1254" s="21">
        <v>33.341137000000003</v>
      </c>
      <c r="J1254" s="21">
        <v>-93.667402699999997</v>
      </c>
      <c r="K1254" s="74" t="s">
        <v>2276</v>
      </c>
      <c r="L1254" s="204">
        <v>2013</v>
      </c>
      <c r="M1254" s="204">
        <v>2013</v>
      </c>
      <c r="N1254" s="82" t="s">
        <v>2276</v>
      </c>
      <c r="O1254" s="19" t="s">
        <v>67</v>
      </c>
      <c r="P1254" s="19" t="s">
        <v>5187</v>
      </c>
      <c r="Q1254" s="204"/>
    </row>
    <row r="1255" spans="1:17" ht="32" customHeight="1">
      <c r="A1255" s="213">
        <v>321</v>
      </c>
      <c r="B1255" s="40" t="s">
        <v>8055</v>
      </c>
      <c r="C1255" s="19" t="s">
        <v>8056</v>
      </c>
      <c r="D1255" s="204" t="s">
        <v>2398</v>
      </c>
      <c r="E1255" s="204" t="s">
        <v>2399</v>
      </c>
      <c r="F1255" s="204" t="s">
        <v>2712</v>
      </c>
      <c r="G1255" s="204" t="s">
        <v>166</v>
      </c>
      <c r="H1255" s="204" t="s">
        <v>121</v>
      </c>
      <c r="I1255" s="21">
        <v>-2.8860166</v>
      </c>
      <c r="J1255" s="21">
        <v>-47.151278699999999</v>
      </c>
      <c r="K1255" s="74">
        <f>'Land use'!I1255*30/100</f>
        <v>1870.3422053231939</v>
      </c>
      <c r="L1255" s="204">
        <v>1965</v>
      </c>
      <c r="M1255" s="204">
        <v>1985</v>
      </c>
      <c r="N1255" s="82" t="s">
        <v>2276</v>
      </c>
      <c r="O1255" s="19" t="s">
        <v>67</v>
      </c>
      <c r="P1255" s="19" t="s">
        <v>5187</v>
      </c>
      <c r="Q1255" s="204"/>
    </row>
    <row r="1256" spans="1:17" ht="30.5" customHeight="1">
      <c r="A1256" s="213">
        <v>322</v>
      </c>
      <c r="B1256" s="40" t="s">
        <v>8062</v>
      </c>
      <c r="C1256" s="19" t="s">
        <v>8063</v>
      </c>
      <c r="D1256" s="204" t="s">
        <v>2398</v>
      </c>
      <c r="E1256" s="204" t="s">
        <v>2399</v>
      </c>
      <c r="F1256" s="11" t="s">
        <v>2276</v>
      </c>
      <c r="G1256" s="11" t="s">
        <v>2276</v>
      </c>
      <c r="H1256" s="204" t="s">
        <v>4112</v>
      </c>
      <c r="I1256" s="21">
        <v>37.6</v>
      </c>
      <c r="J1256" s="21">
        <v>-95.665000000000006</v>
      </c>
      <c r="K1256" s="74" t="s">
        <v>2276</v>
      </c>
      <c r="L1256" s="204">
        <v>2003</v>
      </c>
      <c r="M1256" s="204">
        <v>2003</v>
      </c>
      <c r="N1256" s="82" t="s">
        <v>2276</v>
      </c>
      <c r="O1256" s="19" t="s">
        <v>67</v>
      </c>
      <c r="P1256" s="19" t="s">
        <v>5187</v>
      </c>
      <c r="Q1256" s="204" t="s">
        <v>8064</v>
      </c>
    </row>
    <row r="1257" spans="1:17" ht="34.5" customHeight="1">
      <c r="A1257" s="213">
        <v>323</v>
      </c>
      <c r="B1257" s="40" t="s">
        <v>8071</v>
      </c>
      <c r="C1257" s="19" t="s">
        <v>8069</v>
      </c>
      <c r="D1257" s="204" t="s">
        <v>2398</v>
      </c>
      <c r="E1257" s="204" t="s">
        <v>2399</v>
      </c>
      <c r="F1257" s="11" t="s">
        <v>2276</v>
      </c>
      <c r="G1257" s="11" t="s">
        <v>8070</v>
      </c>
      <c r="H1257" s="11" t="s">
        <v>929</v>
      </c>
      <c r="I1257" s="21">
        <v>-1.7226115</v>
      </c>
      <c r="J1257" s="21">
        <v>-78.578197799999998</v>
      </c>
      <c r="K1257" s="74" t="s">
        <v>2276</v>
      </c>
      <c r="L1257" s="204">
        <v>2011</v>
      </c>
      <c r="M1257" s="204">
        <v>2011</v>
      </c>
      <c r="N1257" s="82" t="s">
        <v>2276</v>
      </c>
      <c r="O1257" s="19" t="s">
        <v>67</v>
      </c>
      <c r="P1257" s="19" t="s">
        <v>5187</v>
      </c>
      <c r="Q1257" s="204"/>
    </row>
    <row r="1258" spans="1:17" ht="36.5" customHeight="1">
      <c r="A1258" s="213">
        <v>324</v>
      </c>
      <c r="B1258" s="40" t="s">
        <v>8075</v>
      </c>
      <c r="C1258" s="19" t="s">
        <v>8076</v>
      </c>
      <c r="D1258" s="204" t="s">
        <v>2398</v>
      </c>
      <c r="E1258" s="204" t="s">
        <v>2422</v>
      </c>
      <c r="F1258" s="11" t="s">
        <v>2276</v>
      </c>
      <c r="G1258" s="204" t="s">
        <v>7103</v>
      </c>
      <c r="H1258" s="204" t="s">
        <v>6116</v>
      </c>
      <c r="I1258" s="21">
        <v>42.986513199999997</v>
      </c>
      <c r="J1258" s="21">
        <v>-0.81194359999999999</v>
      </c>
      <c r="K1258" s="21">
        <v>125</v>
      </c>
      <c r="L1258" s="204">
        <v>1965</v>
      </c>
      <c r="M1258" s="204">
        <v>2010</v>
      </c>
      <c r="N1258" s="82" t="s">
        <v>2276</v>
      </c>
      <c r="O1258" s="19" t="s">
        <v>67</v>
      </c>
      <c r="P1258" s="19" t="s">
        <v>5187</v>
      </c>
      <c r="Q1258" s="204"/>
    </row>
    <row r="1259" spans="1:17" s="203" customFormat="1" ht="36.5" customHeight="1">
      <c r="A1259" s="213">
        <v>325</v>
      </c>
      <c r="B1259" s="40" t="s">
        <v>8081</v>
      </c>
      <c r="C1259" s="19" t="s">
        <v>8082</v>
      </c>
      <c r="D1259" s="204" t="s">
        <v>2398</v>
      </c>
      <c r="E1259" s="204" t="s">
        <v>2399</v>
      </c>
      <c r="F1259" s="11" t="s">
        <v>8084</v>
      </c>
      <c r="G1259" s="11" t="s">
        <v>8083</v>
      </c>
      <c r="H1259" s="11" t="s">
        <v>5224</v>
      </c>
      <c r="I1259" s="21">
        <v>28.250747499999999</v>
      </c>
      <c r="J1259" s="21">
        <v>84.658917200000005</v>
      </c>
      <c r="K1259" s="21" t="s">
        <v>2276</v>
      </c>
      <c r="L1259" s="11">
        <v>1970</v>
      </c>
      <c r="M1259" s="11">
        <v>1970</v>
      </c>
      <c r="N1259" s="82" t="s">
        <v>2276</v>
      </c>
      <c r="O1259" s="19" t="s">
        <v>67</v>
      </c>
      <c r="P1259" s="19" t="s">
        <v>5187</v>
      </c>
      <c r="Q1259" s="204" t="s">
        <v>8086</v>
      </c>
    </row>
    <row r="1260" spans="1:17" ht="38" customHeight="1">
      <c r="A1260" s="213">
        <v>325</v>
      </c>
      <c r="B1260" s="40" t="s">
        <v>8081</v>
      </c>
      <c r="C1260" s="19" t="s">
        <v>8085</v>
      </c>
      <c r="D1260" s="204" t="s">
        <v>2398</v>
      </c>
      <c r="E1260" s="204" t="s">
        <v>2399</v>
      </c>
      <c r="F1260" s="11" t="s">
        <v>8084</v>
      </c>
      <c r="G1260" s="11" t="s">
        <v>8083</v>
      </c>
      <c r="H1260" s="11" t="s">
        <v>5224</v>
      </c>
      <c r="I1260" s="21">
        <v>28.250747499999999</v>
      </c>
      <c r="J1260" s="21">
        <v>84.658917200000005</v>
      </c>
      <c r="K1260" s="21" t="s">
        <v>2276</v>
      </c>
      <c r="L1260" s="11">
        <v>2009</v>
      </c>
      <c r="M1260" s="11">
        <v>2009</v>
      </c>
      <c r="N1260" s="82" t="s">
        <v>2276</v>
      </c>
      <c r="O1260" s="19" t="s">
        <v>67</v>
      </c>
      <c r="P1260" s="19" t="s">
        <v>5187</v>
      </c>
      <c r="Q1260" s="204"/>
    </row>
    <row r="1261" spans="1:17" ht="40.5" customHeight="1">
      <c r="A1261" s="213">
        <v>326</v>
      </c>
      <c r="B1261" s="40" t="s">
        <v>8097</v>
      </c>
      <c r="C1261" s="19" t="s">
        <v>8095</v>
      </c>
      <c r="D1261" s="204" t="s">
        <v>2398</v>
      </c>
      <c r="E1261" s="204" t="s">
        <v>2399</v>
      </c>
      <c r="F1261" s="11" t="s">
        <v>8098</v>
      </c>
      <c r="G1261" s="11" t="s">
        <v>2276</v>
      </c>
      <c r="H1261" s="11" t="s">
        <v>8099</v>
      </c>
      <c r="I1261" s="21">
        <f>46+37/60</f>
        <v>46.616666666666667</v>
      </c>
      <c r="J1261" s="21">
        <f>25+57/60</f>
        <v>25.95</v>
      </c>
      <c r="K1261" s="21">
        <v>60</v>
      </c>
      <c r="L1261" s="11">
        <v>2010</v>
      </c>
      <c r="M1261" s="11">
        <v>2010</v>
      </c>
      <c r="N1261" s="82" t="s">
        <v>2276</v>
      </c>
      <c r="O1261" s="19" t="s">
        <v>67</v>
      </c>
      <c r="P1261" s="19" t="s">
        <v>5187</v>
      </c>
      <c r="Q1261" s="4" t="s">
        <v>8100</v>
      </c>
    </row>
    <row r="1262" spans="1:17" ht="36" customHeight="1">
      <c r="A1262" s="213">
        <v>327</v>
      </c>
      <c r="B1262" s="40" t="s">
        <v>8106</v>
      </c>
      <c r="C1262" s="19" t="s">
        <v>8104</v>
      </c>
      <c r="D1262" s="204" t="s">
        <v>2398</v>
      </c>
      <c r="E1262" s="204" t="s">
        <v>2399</v>
      </c>
      <c r="F1262" s="204" t="s">
        <v>8105</v>
      </c>
      <c r="G1262" s="11" t="s">
        <v>2276</v>
      </c>
      <c r="H1262" s="204" t="s">
        <v>4942</v>
      </c>
      <c r="I1262" s="21">
        <f>45+13/60</f>
        <v>45.216666666666669</v>
      </c>
      <c r="J1262" s="21">
        <f>7+41/60</f>
        <v>7.6833333333333336</v>
      </c>
      <c r="K1262" s="21">
        <f>2635/100</f>
        <v>26.35</v>
      </c>
      <c r="L1262" s="204">
        <v>1999</v>
      </c>
      <c r="M1262" s="204">
        <v>2006</v>
      </c>
      <c r="N1262" s="82" t="s">
        <v>2276</v>
      </c>
      <c r="O1262" s="19" t="s">
        <v>67</v>
      </c>
      <c r="P1262" s="19" t="s">
        <v>5187</v>
      </c>
      <c r="Q1262" s="204"/>
    </row>
    <row r="1263" spans="1:17" ht="33" customHeight="1">
      <c r="A1263" s="213">
        <v>328</v>
      </c>
      <c r="B1263" s="40" t="s">
        <v>8114</v>
      </c>
      <c r="C1263" s="19" t="s">
        <v>8115</v>
      </c>
      <c r="D1263" s="204" t="s">
        <v>2398</v>
      </c>
      <c r="E1263" s="204" t="s">
        <v>4847</v>
      </c>
      <c r="F1263" s="4" t="s">
        <v>8116</v>
      </c>
      <c r="G1263" s="11" t="s">
        <v>2276</v>
      </c>
      <c r="H1263" s="204" t="s">
        <v>4942</v>
      </c>
      <c r="I1263" s="21">
        <v>40.335790000000003</v>
      </c>
      <c r="J1263" s="21">
        <v>15.651869</v>
      </c>
      <c r="K1263" s="21">
        <f>71838/100</f>
        <v>718.38</v>
      </c>
      <c r="L1263" s="204">
        <v>2004</v>
      </c>
      <c r="M1263" s="204">
        <v>2004</v>
      </c>
      <c r="N1263" s="82" t="s">
        <v>2276</v>
      </c>
      <c r="O1263" s="19" t="s">
        <v>67</v>
      </c>
      <c r="P1263" s="19" t="s">
        <v>5187</v>
      </c>
      <c r="Q1263" s="4" t="s">
        <v>8121</v>
      </c>
    </row>
    <row r="1264" spans="1:17" ht="33" customHeight="1">
      <c r="A1264" s="213">
        <v>328</v>
      </c>
      <c r="B1264" s="40" t="s">
        <v>8114</v>
      </c>
      <c r="C1264" s="19" t="s">
        <v>8115</v>
      </c>
      <c r="D1264" s="204" t="s">
        <v>2398</v>
      </c>
      <c r="E1264" s="204" t="s">
        <v>4847</v>
      </c>
      <c r="F1264" s="204" t="s">
        <v>8117</v>
      </c>
      <c r="G1264" s="204" t="s">
        <v>8118</v>
      </c>
      <c r="H1264" s="204" t="s">
        <v>4942</v>
      </c>
      <c r="I1264" s="21">
        <v>41.781708100000003</v>
      </c>
      <c r="J1264" s="21">
        <v>15.851642099999999</v>
      </c>
      <c r="K1264" s="21">
        <f>262000/100</f>
        <v>2620</v>
      </c>
      <c r="L1264" s="204">
        <v>2001</v>
      </c>
      <c r="M1264" s="204">
        <v>2001</v>
      </c>
      <c r="N1264" s="82" t="s">
        <v>2276</v>
      </c>
      <c r="O1264" s="19" t="s">
        <v>67</v>
      </c>
      <c r="P1264" s="19" t="s">
        <v>5187</v>
      </c>
      <c r="Q1264" s="4" t="s">
        <v>8121</v>
      </c>
    </row>
    <row r="1265" spans="1:17" ht="33" customHeight="1">
      <c r="A1265" s="213">
        <v>328</v>
      </c>
      <c r="B1265" s="40" t="s">
        <v>8114</v>
      </c>
      <c r="C1265" s="19" t="s">
        <v>8115</v>
      </c>
      <c r="D1265" s="204" t="s">
        <v>2398</v>
      </c>
      <c r="E1265" s="204" t="s">
        <v>4847</v>
      </c>
      <c r="F1265" s="204" t="s">
        <v>8119</v>
      </c>
      <c r="G1265" s="204" t="s">
        <v>7152</v>
      </c>
      <c r="H1265" s="204" t="s">
        <v>4942</v>
      </c>
      <c r="I1265" s="21">
        <v>41.1113772</v>
      </c>
      <c r="J1265" s="21">
        <v>16.882080200000001</v>
      </c>
      <c r="K1265" s="21">
        <f>513831/100</f>
        <v>5138.3100000000004</v>
      </c>
      <c r="L1265" s="204">
        <v>2001</v>
      </c>
      <c r="M1265" s="204">
        <v>2001</v>
      </c>
      <c r="N1265" s="82" t="s">
        <v>2276</v>
      </c>
      <c r="O1265" s="19" t="s">
        <v>67</v>
      </c>
      <c r="P1265" s="19" t="s">
        <v>5187</v>
      </c>
      <c r="Q1265" s="4" t="s">
        <v>8121</v>
      </c>
    </row>
    <row r="1266" spans="1:17" ht="33" customHeight="1">
      <c r="A1266" s="213">
        <v>328</v>
      </c>
      <c r="B1266" s="40" t="s">
        <v>8114</v>
      </c>
      <c r="C1266" s="19" t="s">
        <v>8115</v>
      </c>
      <c r="D1266" s="204" t="s">
        <v>2398</v>
      </c>
      <c r="E1266" s="204" t="s">
        <v>4847</v>
      </c>
      <c r="F1266" s="11" t="s">
        <v>2276</v>
      </c>
      <c r="G1266" s="204" t="s">
        <v>8120</v>
      </c>
      <c r="H1266" s="204" t="s">
        <v>4942</v>
      </c>
      <c r="I1266" s="21">
        <v>40.517362499999997</v>
      </c>
      <c r="J1266" s="21">
        <v>16.1010794</v>
      </c>
      <c r="K1266" s="21">
        <f>999461/100</f>
        <v>9994.61</v>
      </c>
      <c r="L1266" s="204">
        <v>2003</v>
      </c>
      <c r="M1266" s="204">
        <v>2003</v>
      </c>
      <c r="N1266" s="82" t="s">
        <v>2276</v>
      </c>
      <c r="O1266" s="19" t="s">
        <v>67</v>
      </c>
      <c r="P1266" s="19" t="s">
        <v>5187</v>
      </c>
      <c r="Q1266" s="4" t="s">
        <v>8121</v>
      </c>
    </row>
    <row r="1267" spans="1:17" ht="33.5" customHeight="1">
      <c r="A1267" s="213">
        <v>329</v>
      </c>
      <c r="B1267" s="40" t="s">
        <v>8157</v>
      </c>
      <c r="C1267" s="19" t="s">
        <v>8158</v>
      </c>
      <c r="D1267" s="204" t="s">
        <v>2398</v>
      </c>
      <c r="E1267" s="204" t="s">
        <v>2400</v>
      </c>
      <c r="F1267" s="204" t="s">
        <v>5999</v>
      </c>
      <c r="G1267" s="204" t="s">
        <v>8159</v>
      </c>
      <c r="H1267" s="204" t="s">
        <v>3414</v>
      </c>
      <c r="I1267" s="21">
        <v>-23.0248937</v>
      </c>
      <c r="J1267" s="21">
        <v>122.2501329</v>
      </c>
      <c r="K1267" s="82" t="s">
        <v>2276</v>
      </c>
      <c r="L1267" s="204">
        <v>2002</v>
      </c>
      <c r="M1267" s="204">
        <v>2002</v>
      </c>
      <c r="N1267" s="82" t="s">
        <v>2276</v>
      </c>
      <c r="O1267" s="19" t="s">
        <v>67</v>
      </c>
      <c r="P1267" s="19" t="s">
        <v>5187</v>
      </c>
      <c r="Q1267" s="204"/>
    </row>
    <row r="1268" spans="1:17" ht="34.5" customHeight="1">
      <c r="A1268" s="213">
        <v>330</v>
      </c>
      <c r="B1268" s="40" t="s">
        <v>8166</v>
      </c>
      <c r="C1268" s="19" t="s">
        <v>8167</v>
      </c>
      <c r="D1268" s="11" t="s">
        <v>2398</v>
      </c>
      <c r="E1268" s="204" t="s">
        <v>2400</v>
      </c>
      <c r="F1268" s="204" t="s">
        <v>8169</v>
      </c>
      <c r="G1268" s="11" t="s">
        <v>2276</v>
      </c>
      <c r="H1268" s="204" t="s">
        <v>3798</v>
      </c>
      <c r="I1268" s="21">
        <v>10.3746457</v>
      </c>
      <c r="J1268" s="21">
        <v>-7.5191796000000002</v>
      </c>
      <c r="K1268" s="21">
        <v>33670</v>
      </c>
      <c r="L1268" s="204">
        <v>1999</v>
      </c>
      <c r="M1268" s="204">
        <v>2011</v>
      </c>
      <c r="N1268" s="82" t="s">
        <v>2276</v>
      </c>
      <c r="O1268" s="19" t="s">
        <v>67</v>
      </c>
      <c r="P1268" s="19" t="s">
        <v>5187</v>
      </c>
      <c r="Q1268" s="4" t="s">
        <v>8170</v>
      </c>
    </row>
    <row r="1269" spans="1:17" ht="32.5" customHeight="1">
      <c r="A1269" s="213">
        <v>330</v>
      </c>
      <c r="B1269" s="40" t="s">
        <v>8166</v>
      </c>
      <c r="C1269" s="19" t="s">
        <v>8168</v>
      </c>
      <c r="D1269" s="11" t="s">
        <v>2398</v>
      </c>
      <c r="E1269" s="204" t="s">
        <v>2400</v>
      </c>
      <c r="F1269" s="204" t="s">
        <v>8169</v>
      </c>
      <c r="G1269" s="11" t="s">
        <v>2276</v>
      </c>
      <c r="H1269" s="204" t="s">
        <v>1949</v>
      </c>
      <c r="I1269" s="21">
        <v>10.8939013</v>
      </c>
      <c r="J1269" s="21">
        <v>-2.6108250000000002</v>
      </c>
      <c r="K1269" s="21">
        <v>33670</v>
      </c>
      <c r="L1269" s="204">
        <v>2006</v>
      </c>
      <c r="M1269" s="204">
        <v>2007</v>
      </c>
      <c r="N1269" s="82" t="s">
        <v>2276</v>
      </c>
      <c r="O1269" s="19" t="s">
        <v>67</v>
      </c>
      <c r="P1269" s="19" t="s">
        <v>5187</v>
      </c>
      <c r="Q1269" s="4" t="s">
        <v>8170</v>
      </c>
    </row>
    <row r="1270" spans="1:17" ht="35.5" customHeight="1">
      <c r="A1270" s="213">
        <v>331</v>
      </c>
      <c r="B1270" s="40" t="s">
        <v>8190</v>
      </c>
      <c r="C1270" s="19" t="s">
        <v>8191</v>
      </c>
      <c r="D1270" s="11" t="s">
        <v>2398</v>
      </c>
      <c r="E1270" s="204" t="s">
        <v>2420</v>
      </c>
      <c r="F1270" s="204" t="s">
        <v>8192</v>
      </c>
      <c r="G1270" s="204" t="s">
        <v>8193</v>
      </c>
      <c r="H1270" s="11" t="s">
        <v>3414</v>
      </c>
      <c r="I1270" s="21">
        <v>-25.247209999999999</v>
      </c>
      <c r="J1270" s="21">
        <v>153.15142850000001</v>
      </c>
      <c r="K1270" s="21">
        <v>1655</v>
      </c>
      <c r="L1270" s="204">
        <v>1958</v>
      </c>
      <c r="M1270" s="204">
        <v>2016</v>
      </c>
      <c r="N1270" s="82" t="s">
        <v>2276</v>
      </c>
      <c r="O1270" s="19" t="s">
        <v>67</v>
      </c>
      <c r="P1270" s="19" t="s">
        <v>5187</v>
      </c>
      <c r="Q1270" s="204"/>
    </row>
    <row r="1271" spans="1:17" ht="45.5" customHeight="1">
      <c r="A1271" s="213">
        <v>332</v>
      </c>
      <c r="B1271" s="40" t="s">
        <v>8203</v>
      </c>
      <c r="C1271" s="19" t="s">
        <v>8202</v>
      </c>
      <c r="D1271" s="11" t="s">
        <v>2398</v>
      </c>
      <c r="E1271" s="204" t="s">
        <v>4847</v>
      </c>
      <c r="F1271" s="204" t="s">
        <v>8211</v>
      </c>
      <c r="G1271" s="11" t="s">
        <v>5372</v>
      </c>
      <c r="H1271" s="11" t="s">
        <v>5373</v>
      </c>
      <c r="I1271" s="21">
        <v>59.425642099999997</v>
      </c>
      <c r="J1271" s="21">
        <v>-126.1007951</v>
      </c>
      <c r="K1271" s="21">
        <f>40963/10</f>
        <v>4096.3</v>
      </c>
      <c r="L1271" s="11">
        <v>1922</v>
      </c>
      <c r="M1271" s="11">
        <v>2012</v>
      </c>
      <c r="N1271" s="82" t="s">
        <v>2276</v>
      </c>
      <c r="O1271" s="19" t="s">
        <v>67</v>
      </c>
      <c r="P1271" s="19" t="s">
        <v>5187</v>
      </c>
      <c r="Q1271" s="19" t="s">
        <v>8220</v>
      </c>
    </row>
    <row r="1272" spans="1:17" ht="45.5" customHeight="1">
      <c r="A1272" s="213">
        <v>332</v>
      </c>
      <c r="B1272" s="40" t="s">
        <v>8203</v>
      </c>
      <c r="C1272" s="19" t="s">
        <v>8208</v>
      </c>
      <c r="D1272" s="11" t="s">
        <v>2398</v>
      </c>
      <c r="E1272" s="204" t="s">
        <v>4847</v>
      </c>
      <c r="F1272" s="204" t="s">
        <v>8204</v>
      </c>
      <c r="G1272" s="11" t="s">
        <v>5372</v>
      </c>
      <c r="H1272" s="11" t="s">
        <v>5373</v>
      </c>
      <c r="I1272" s="21">
        <v>58.829031299999997</v>
      </c>
      <c r="J1272" s="21">
        <v>-126.9673714</v>
      </c>
      <c r="K1272" s="21">
        <f>12828810</f>
        <v>12828810</v>
      </c>
      <c r="L1272" s="11">
        <v>1922</v>
      </c>
      <c r="M1272" s="11">
        <v>2012</v>
      </c>
      <c r="N1272" s="82" t="s">
        <v>2276</v>
      </c>
      <c r="O1272" s="19" t="s">
        <v>67</v>
      </c>
      <c r="P1272" s="19" t="s">
        <v>5187</v>
      </c>
      <c r="Q1272" s="19" t="s">
        <v>8220</v>
      </c>
    </row>
    <row r="1273" spans="1:17" ht="45.5" customHeight="1">
      <c r="A1273" s="213">
        <v>332</v>
      </c>
      <c r="B1273" s="40" t="s">
        <v>8203</v>
      </c>
      <c r="C1273" s="19" t="s">
        <v>8209</v>
      </c>
      <c r="D1273" s="11" t="s">
        <v>2398</v>
      </c>
      <c r="E1273" s="204" t="s">
        <v>4847</v>
      </c>
      <c r="F1273" s="11" t="s">
        <v>8212</v>
      </c>
      <c r="G1273" s="11" t="s">
        <v>5372</v>
      </c>
      <c r="H1273" s="11" t="s">
        <v>5373</v>
      </c>
      <c r="I1273" s="21">
        <v>59.290074699999998</v>
      </c>
      <c r="J1273" s="21">
        <v>-127.0493494</v>
      </c>
      <c r="K1273" s="21">
        <f>15665/10</f>
        <v>1566.5</v>
      </c>
      <c r="L1273" s="11">
        <v>1922</v>
      </c>
      <c r="M1273" s="11">
        <v>2012</v>
      </c>
      <c r="N1273" s="82" t="s">
        <v>2276</v>
      </c>
      <c r="O1273" s="19" t="s">
        <v>67</v>
      </c>
      <c r="P1273" s="19" t="s">
        <v>5187</v>
      </c>
      <c r="Q1273" s="19" t="s">
        <v>8220</v>
      </c>
    </row>
    <row r="1274" spans="1:17" ht="45.5" customHeight="1">
      <c r="A1274" s="213">
        <v>332</v>
      </c>
      <c r="B1274" s="40" t="s">
        <v>8203</v>
      </c>
      <c r="C1274" s="19" t="s">
        <v>8210</v>
      </c>
      <c r="D1274" s="11" t="s">
        <v>2398</v>
      </c>
      <c r="E1274" s="204" t="s">
        <v>4847</v>
      </c>
      <c r="F1274" s="11" t="s">
        <v>8213</v>
      </c>
      <c r="G1274" s="11" t="s">
        <v>5372</v>
      </c>
      <c r="H1274" s="11" t="s">
        <v>5373</v>
      </c>
      <c r="I1274" s="21">
        <v>58.8477885</v>
      </c>
      <c r="J1274" s="21">
        <v>-125.23172409999999</v>
      </c>
      <c r="K1274" s="21">
        <f>34180/10</f>
        <v>3418</v>
      </c>
      <c r="L1274" s="11">
        <v>1922</v>
      </c>
      <c r="M1274" s="11">
        <v>2012</v>
      </c>
      <c r="N1274" s="82" t="s">
        <v>2276</v>
      </c>
      <c r="O1274" s="19" t="s">
        <v>67</v>
      </c>
      <c r="P1274" s="19" t="s">
        <v>5187</v>
      </c>
      <c r="Q1274" s="19" t="s">
        <v>8220</v>
      </c>
    </row>
    <row r="1275" spans="1:17" ht="45.5" customHeight="1">
      <c r="A1275" s="213">
        <v>332</v>
      </c>
      <c r="B1275" s="40" t="s">
        <v>8203</v>
      </c>
      <c r="C1275" s="19" t="s">
        <v>8217</v>
      </c>
      <c r="D1275" s="11" t="s">
        <v>2398</v>
      </c>
      <c r="E1275" s="204" t="s">
        <v>4847</v>
      </c>
      <c r="F1275" s="11" t="s">
        <v>8214</v>
      </c>
      <c r="G1275" s="11" t="s">
        <v>5372</v>
      </c>
      <c r="H1275" s="11" t="s">
        <v>5373</v>
      </c>
      <c r="I1275" s="21">
        <v>58.80574</v>
      </c>
      <c r="J1275" s="21">
        <v>-122.7109481</v>
      </c>
      <c r="K1275" s="21">
        <f>78188/10</f>
        <v>7818.8</v>
      </c>
      <c r="L1275" s="11">
        <v>1922</v>
      </c>
      <c r="M1275" s="11">
        <v>2012</v>
      </c>
      <c r="N1275" s="82" t="s">
        <v>2276</v>
      </c>
      <c r="O1275" s="19" t="s">
        <v>67</v>
      </c>
      <c r="P1275" s="19" t="s">
        <v>5187</v>
      </c>
      <c r="Q1275" s="19" t="s">
        <v>8220</v>
      </c>
    </row>
    <row r="1276" spans="1:17" ht="45.5" customHeight="1">
      <c r="A1276" s="213">
        <v>332</v>
      </c>
      <c r="B1276" s="40" t="s">
        <v>8203</v>
      </c>
      <c r="C1276" s="19" t="s">
        <v>8218</v>
      </c>
      <c r="D1276" s="11" t="s">
        <v>2398</v>
      </c>
      <c r="E1276" s="204" t="s">
        <v>4847</v>
      </c>
      <c r="F1276" s="11" t="s">
        <v>8215</v>
      </c>
      <c r="G1276" s="11" t="s">
        <v>5372</v>
      </c>
      <c r="H1276" s="11" t="s">
        <v>5373</v>
      </c>
      <c r="I1276" s="21">
        <v>57</v>
      </c>
      <c r="J1276" s="21">
        <v>-123.3677825</v>
      </c>
      <c r="K1276" s="21">
        <f>29473/10</f>
        <v>2947.3</v>
      </c>
      <c r="L1276" s="11">
        <v>1922</v>
      </c>
      <c r="M1276" s="11">
        <v>2012</v>
      </c>
      <c r="N1276" s="82" t="s">
        <v>2276</v>
      </c>
      <c r="O1276" s="19" t="s">
        <v>67</v>
      </c>
      <c r="P1276" s="19" t="s">
        <v>5187</v>
      </c>
      <c r="Q1276" s="19" t="s">
        <v>8220</v>
      </c>
    </row>
    <row r="1277" spans="1:17" ht="45.5" customHeight="1">
      <c r="A1277" s="213">
        <v>332</v>
      </c>
      <c r="B1277" s="40" t="s">
        <v>8203</v>
      </c>
      <c r="C1277" s="19" t="s">
        <v>8219</v>
      </c>
      <c r="D1277" s="11" t="s">
        <v>2398</v>
      </c>
      <c r="E1277" s="204" t="s">
        <v>4847</v>
      </c>
      <c r="F1277" s="11" t="s">
        <v>8216</v>
      </c>
      <c r="G1277" s="11" t="s">
        <v>5372</v>
      </c>
      <c r="H1277" s="11" t="s">
        <v>5373</v>
      </c>
      <c r="I1277" s="21">
        <v>57.5</v>
      </c>
      <c r="J1277" s="21">
        <v>-126.5</v>
      </c>
      <c r="K1277" s="21">
        <f>61049/10</f>
        <v>6104.9</v>
      </c>
      <c r="L1277" s="11">
        <v>1922</v>
      </c>
      <c r="M1277" s="11">
        <v>2012</v>
      </c>
      <c r="N1277" s="82" t="s">
        <v>2276</v>
      </c>
      <c r="O1277" s="19" t="s">
        <v>67</v>
      </c>
      <c r="P1277" s="19" t="s">
        <v>5187</v>
      </c>
      <c r="Q1277" s="19" t="s">
        <v>8220</v>
      </c>
    </row>
    <row r="1278" spans="1:17" ht="44.5" customHeight="1">
      <c r="A1278" s="213">
        <v>333</v>
      </c>
      <c r="B1278" s="40" t="s">
        <v>8201</v>
      </c>
      <c r="C1278" s="19" t="s">
        <v>8236</v>
      </c>
      <c r="D1278" s="11" t="s">
        <v>2398</v>
      </c>
      <c r="E1278" s="204" t="s">
        <v>2422</v>
      </c>
      <c r="F1278" s="11" t="s">
        <v>8204</v>
      </c>
      <c r="G1278" s="11" t="s">
        <v>5372</v>
      </c>
      <c r="H1278" s="11" t="s">
        <v>5373</v>
      </c>
      <c r="I1278" s="21">
        <v>58.8</v>
      </c>
      <c r="J1278" s="21">
        <v>-127.5</v>
      </c>
      <c r="K1278" s="21">
        <f>268059/100</f>
        <v>2680.59</v>
      </c>
      <c r="L1278" s="11">
        <v>2010</v>
      </c>
      <c r="M1278" s="11">
        <v>2012</v>
      </c>
      <c r="N1278" s="82" t="s">
        <v>2276</v>
      </c>
      <c r="O1278" s="19" t="s">
        <v>67</v>
      </c>
      <c r="P1278" s="19" t="s">
        <v>5187</v>
      </c>
      <c r="Q1278" s="204"/>
    </row>
    <row r="1279" spans="1:17" ht="44.5" customHeight="1">
      <c r="A1279" s="213">
        <v>333</v>
      </c>
      <c r="B1279" s="40" t="s">
        <v>8237</v>
      </c>
      <c r="C1279" s="19" t="s">
        <v>8240</v>
      </c>
      <c r="D1279" s="11" t="s">
        <v>2398</v>
      </c>
      <c r="E1279" s="204" t="s">
        <v>2422</v>
      </c>
      <c r="F1279" s="11" t="s">
        <v>8205</v>
      </c>
      <c r="G1279" s="11" t="s">
        <v>5372</v>
      </c>
      <c r="H1279" s="11" t="s">
        <v>5373</v>
      </c>
      <c r="I1279" s="21">
        <v>58.5</v>
      </c>
      <c r="J1279" s="21">
        <v>-124</v>
      </c>
      <c r="K1279" s="21">
        <f>383209/100</f>
        <v>3832.09</v>
      </c>
      <c r="L1279" s="11">
        <v>2010</v>
      </c>
      <c r="M1279" s="11">
        <v>2012</v>
      </c>
      <c r="N1279" s="82" t="s">
        <v>2276</v>
      </c>
      <c r="O1279" s="19" t="s">
        <v>67</v>
      </c>
      <c r="P1279" s="19" t="s">
        <v>5187</v>
      </c>
      <c r="Q1279" s="204"/>
    </row>
    <row r="1280" spans="1:17" ht="44.5" customHeight="1">
      <c r="A1280" s="213">
        <v>333</v>
      </c>
      <c r="B1280" s="40" t="s">
        <v>8238</v>
      </c>
      <c r="C1280" s="19" t="s">
        <v>8241</v>
      </c>
      <c r="D1280" s="11" t="s">
        <v>2398</v>
      </c>
      <c r="E1280" s="204" t="s">
        <v>2422</v>
      </c>
      <c r="F1280" s="11" t="s">
        <v>8206</v>
      </c>
      <c r="G1280" s="11" t="s">
        <v>5372</v>
      </c>
      <c r="H1280" s="11" t="s">
        <v>5373</v>
      </c>
      <c r="I1280" s="21">
        <v>58</v>
      </c>
      <c r="J1280" s="21">
        <v>-123.75</v>
      </c>
      <c r="K1280" s="21">
        <f>383209/100</f>
        <v>3832.09</v>
      </c>
      <c r="L1280" s="11">
        <v>2010</v>
      </c>
      <c r="M1280" s="11">
        <v>2012</v>
      </c>
      <c r="N1280" s="82" t="s">
        <v>2276</v>
      </c>
      <c r="O1280" s="19" t="s">
        <v>67</v>
      </c>
      <c r="P1280" s="19" t="s">
        <v>5187</v>
      </c>
      <c r="Q1280" s="204"/>
    </row>
    <row r="1281" spans="1:17" ht="44.5" customHeight="1">
      <c r="A1281" s="213">
        <v>333</v>
      </c>
      <c r="B1281" s="40" t="s">
        <v>8239</v>
      </c>
      <c r="C1281" s="19" t="s">
        <v>8242</v>
      </c>
      <c r="D1281" s="11" t="s">
        <v>2398</v>
      </c>
      <c r="E1281" s="204" t="s">
        <v>2422</v>
      </c>
      <c r="F1281" s="11" t="s">
        <v>8207</v>
      </c>
      <c r="G1281" s="11" t="s">
        <v>5372</v>
      </c>
      <c r="H1281" s="11" t="s">
        <v>5373</v>
      </c>
      <c r="I1281" s="21">
        <v>57.4</v>
      </c>
      <c r="J1281" s="21">
        <v>-123</v>
      </c>
      <c r="K1281" s="21">
        <f>27636/100</f>
        <v>276.36</v>
      </c>
      <c r="L1281" s="11">
        <v>2010</v>
      </c>
      <c r="M1281" s="11">
        <v>2012</v>
      </c>
      <c r="N1281" s="82" t="s">
        <v>2276</v>
      </c>
      <c r="O1281" s="19" t="s">
        <v>67</v>
      </c>
      <c r="P1281" s="19" t="s">
        <v>5187</v>
      </c>
      <c r="Q1281" s="204"/>
    </row>
    <row r="1282" spans="1:17" ht="51.5" customHeight="1">
      <c r="A1282" s="213">
        <v>334</v>
      </c>
      <c r="B1282" s="40" t="s">
        <v>8256</v>
      </c>
      <c r="C1282" s="19" t="s">
        <v>8257</v>
      </c>
      <c r="D1282" s="11" t="s">
        <v>2398</v>
      </c>
      <c r="E1282" s="204" t="s">
        <v>2399</v>
      </c>
      <c r="F1282" s="64" t="s">
        <v>8258</v>
      </c>
      <c r="G1282" s="11" t="s">
        <v>4605</v>
      </c>
      <c r="H1282" s="11" t="s">
        <v>3414</v>
      </c>
      <c r="I1282" s="21">
        <v>-12.7639627</v>
      </c>
      <c r="J1282" s="21">
        <v>132.2897361</v>
      </c>
      <c r="K1282" s="21" t="s">
        <v>2276</v>
      </c>
      <c r="L1282" s="22">
        <v>2002</v>
      </c>
      <c r="M1282" s="22">
        <v>2003</v>
      </c>
      <c r="N1282" s="82" t="s">
        <v>2276</v>
      </c>
      <c r="O1282" s="19" t="s">
        <v>67</v>
      </c>
      <c r="P1282" s="19" t="s">
        <v>5187</v>
      </c>
      <c r="Q1282" s="4"/>
    </row>
    <row r="1283" spans="1:17" ht="40" customHeight="1">
      <c r="A1283" s="213">
        <v>335</v>
      </c>
      <c r="B1283" s="40" t="s">
        <v>8272</v>
      </c>
      <c r="C1283" s="19" t="s">
        <v>8271</v>
      </c>
      <c r="D1283" s="11" t="s">
        <v>2398</v>
      </c>
      <c r="E1283" s="204" t="s">
        <v>2422</v>
      </c>
      <c r="F1283" s="204" t="s">
        <v>8274</v>
      </c>
      <c r="G1283" s="204" t="s">
        <v>8273</v>
      </c>
      <c r="H1283" s="204" t="s">
        <v>5373</v>
      </c>
      <c r="I1283" s="21">
        <v>51.554279899999997</v>
      </c>
      <c r="J1283" s="21">
        <v>-94.315953699999994</v>
      </c>
      <c r="K1283" s="21">
        <f>1200000/100</f>
        <v>12000</v>
      </c>
      <c r="L1283" s="204">
        <v>2006</v>
      </c>
      <c r="M1283" s="204">
        <v>2008</v>
      </c>
      <c r="N1283" s="82" t="s">
        <v>2276</v>
      </c>
      <c r="O1283" s="19" t="s">
        <v>67</v>
      </c>
      <c r="P1283" s="19" t="s">
        <v>5187</v>
      </c>
      <c r="Q1283" s="204"/>
    </row>
    <row r="1284" spans="1:17" ht="56.5" customHeight="1">
      <c r="A1284" s="213">
        <v>336</v>
      </c>
      <c r="B1284" s="40" t="s">
        <v>8283</v>
      </c>
      <c r="C1284" s="19" t="s">
        <v>8284</v>
      </c>
      <c r="D1284" s="204" t="s">
        <v>2398</v>
      </c>
      <c r="E1284" s="204" t="s">
        <v>2399</v>
      </c>
      <c r="F1284" s="204" t="s">
        <v>2276</v>
      </c>
      <c r="G1284" s="24" t="s">
        <v>5384</v>
      </c>
      <c r="H1284" s="24" t="s">
        <v>3414</v>
      </c>
      <c r="I1284" s="21">
        <v>-32.831150100000002</v>
      </c>
      <c r="J1284" s="21">
        <v>150.05236170000001</v>
      </c>
      <c r="K1284" s="21" t="s">
        <v>2276</v>
      </c>
      <c r="L1284" s="204">
        <v>2011</v>
      </c>
      <c r="M1284" s="204">
        <v>2011</v>
      </c>
      <c r="N1284" s="82" t="s">
        <v>2276</v>
      </c>
      <c r="O1284" s="19" t="s">
        <v>67</v>
      </c>
      <c r="P1284" s="19" t="s">
        <v>5187</v>
      </c>
      <c r="Q1284" s="4" t="s">
        <v>8287</v>
      </c>
    </row>
    <row r="1285" spans="1:17" ht="56.5" customHeight="1">
      <c r="A1285" s="213">
        <v>336</v>
      </c>
      <c r="B1285" s="40" t="s">
        <v>8283</v>
      </c>
      <c r="C1285" s="19" t="s">
        <v>8285</v>
      </c>
      <c r="D1285" s="204" t="s">
        <v>2398</v>
      </c>
      <c r="E1285" s="204" t="s">
        <v>2399</v>
      </c>
      <c r="F1285" s="204" t="s">
        <v>2276</v>
      </c>
      <c r="G1285" s="24" t="s">
        <v>8193</v>
      </c>
      <c r="H1285" s="24" t="s">
        <v>3414</v>
      </c>
      <c r="I1285" s="21">
        <v>-19.1939803</v>
      </c>
      <c r="J1285" s="21">
        <v>145.8228732</v>
      </c>
      <c r="K1285" s="21" t="s">
        <v>2276</v>
      </c>
      <c r="L1285" s="204">
        <v>2011</v>
      </c>
      <c r="M1285" s="204">
        <v>2011</v>
      </c>
      <c r="N1285" s="82" t="s">
        <v>2276</v>
      </c>
      <c r="O1285" s="19" t="s">
        <v>67</v>
      </c>
      <c r="P1285" s="19" t="s">
        <v>5187</v>
      </c>
      <c r="Q1285" s="4" t="s">
        <v>8287</v>
      </c>
    </row>
    <row r="1286" spans="1:17" ht="56.5" customHeight="1">
      <c r="A1286" s="213">
        <v>336</v>
      </c>
      <c r="B1286" s="40" t="s">
        <v>8283</v>
      </c>
      <c r="C1286" s="19" t="s">
        <v>8286</v>
      </c>
      <c r="D1286" s="204" t="s">
        <v>2398</v>
      </c>
      <c r="E1286" s="204" t="s">
        <v>2399</v>
      </c>
      <c r="F1286" s="204" t="s">
        <v>2276</v>
      </c>
      <c r="G1286" s="24" t="s">
        <v>4132</v>
      </c>
      <c r="H1286" s="24" t="s">
        <v>4132</v>
      </c>
      <c r="I1286" s="21">
        <v>37.269174499999998</v>
      </c>
      <c r="J1286" s="21">
        <v>-119.306607</v>
      </c>
      <c r="K1286" s="21" t="s">
        <v>2276</v>
      </c>
      <c r="L1286" s="204">
        <v>2011</v>
      </c>
      <c r="M1286" s="204">
        <v>2011</v>
      </c>
      <c r="N1286" s="82" t="s">
        <v>2276</v>
      </c>
      <c r="O1286" s="19" t="s">
        <v>67</v>
      </c>
      <c r="P1286" s="19" t="s">
        <v>5187</v>
      </c>
      <c r="Q1286" s="4" t="s">
        <v>8287</v>
      </c>
    </row>
    <row r="1287" spans="1:17" ht="39.5" customHeight="1">
      <c r="A1287" s="213">
        <v>337</v>
      </c>
      <c r="B1287" s="40" t="s">
        <v>8298</v>
      </c>
      <c r="C1287" s="19" t="s">
        <v>8299</v>
      </c>
      <c r="D1287" s="204" t="s">
        <v>2398</v>
      </c>
      <c r="E1287" s="204" t="s">
        <v>2399</v>
      </c>
      <c r="F1287" s="204" t="s">
        <v>8300</v>
      </c>
      <c r="G1287" s="204" t="s">
        <v>2276</v>
      </c>
      <c r="H1287" s="204" t="s">
        <v>4112</v>
      </c>
      <c r="I1287" s="21">
        <v>46.175186400000001</v>
      </c>
      <c r="J1287" s="21">
        <v>-116.35077649999999</v>
      </c>
      <c r="K1287" s="21">
        <f>770000/100</f>
        <v>7700</v>
      </c>
      <c r="L1287" s="204">
        <v>2006</v>
      </c>
      <c r="M1287" s="204">
        <v>2006</v>
      </c>
      <c r="N1287" s="82" t="s">
        <v>2276</v>
      </c>
      <c r="O1287" s="19" t="s">
        <v>67</v>
      </c>
      <c r="P1287" s="19" t="s">
        <v>5187</v>
      </c>
      <c r="Q1287" s="204"/>
    </row>
    <row r="1288" spans="1:17" ht="42" customHeight="1">
      <c r="A1288" s="213">
        <v>338</v>
      </c>
      <c r="B1288" s="40" t="s">
        <v>8313</v>
      </c>
      <c r="C1288" s="19" t="s">
        <v>8314</v>
      </c>
      <c r="D1288" s="204" t="s">
        <v>2398</v>
      </c>
      <c r="E1288" s="204" t="s">
        <v>2399</v>
      </c>
      <c r="F1288" s="11" t="s">
        <v>8320</v>
      </c>
      <c r="G1288" s="11" t="s">
        <v>8316</v>
      </c>
      <c r="H1288" s="26" t="s">
        <v>895</v>
      </c>
      <c r="I1288" s="21">
        <v>-9.7395355000000006</v>
      </c>
      <c r="J1288" s="21">
        <v>120.24248</v>
      </c>
      <c r="K1288" s="21">
        <v>33.5</v>
      </c>
      <c r="L1288" s="11">
        <v>2002</v>
      </c>
      <c r="M1288" s="11">
        <v>2004</v>
      </c>
      <c r="N1288" s="74">
        <v>42</v>
      </c>
      <c r="O1288" s="19" t="s">
        <v>67</v>
      </c>
      <c r="P1288" s="19" t="s">
        <v>5187</v>
      </c>
      <c r="Q1288" s="204"/>
    </row>
    <row r="1289" spans="1:17" ht="42" customHeight="1">
      <c r="A1289" s="213">
        <v>338</v>
      </c>
      <c r="B1289" s="40" t="s">
        <v>8313</v>
      </c>
      <c r="C1289" s="19" t="s">
        <v>8315</v>
      </c>
      <c r="D1289" s="204" t="s">
        <v>2398</v>
      </c>
      <c r="E1289" s="204" t="s">
        <v>2399</v>
      </c>
      <c r="F1289" s="11" t="s">
        <v>8321</v>
      </c>
      <c r="G1289" s="11" t="s">
        <v>8316</v>
      </c>
      <c r="H1289" s="26" t="s">
        <v>895</v>
      </c>
      <c r="I1289" s="21">
        <v>-9.7816895000000006</v>
      </c>
      <c r="J1289" s="21">
        <v>120.2661885</v>
      </c>
      <c r="K1289" s="21">
        <v>53</v>
      </c>
      <c r="L1289" s="11">
        <v>2002</v>
      </c>
      <c r="M1289" s="11">
        <v>2004</v>
      </c>
      <c r="N1289" s="74">
        <v>10</v>
      </c>
      <c r="O1289" s="19" t="s">
        <v>67</v>
      </c>
      <c r="P1289" s="19" t="s">
        <v>5187</v>
      </c>
      <c r="Q1289" s="204"/>
    </row>
    <row r="1290" spans="1:17" ht="42" customHeight="1">
      <c r="A1290" s="213">
        <v>338</v>
      </c>
      <c r="B1290" s="40" t="s">
        <v>8313</v>
      </c>
      <c r="C1290" s="19" t="s">
        <v>8318</v>
      </c>
      <c r="D1290" s="204" t="s">
        <v>2398</v>
      </c>
      <c r="E1290" s="204" t="s">
        <v>2399</v>
      </c>
      <c r="F1290" s="11" t="s">
        <v>8322</v>
      </c>
      <c r="G1290" s="11" t="s">
        <v>8317</v>
      </c>
      <c r="H1290" s="26" t="s">
        <v>895</v>
      </c>
      <c r="I1290" s="21">
        <v>-8.6796255000000002</v>
      </c>
      <c r="J1290" s="21">
        <v>121.19968160000001</v>
      </c>
      <c r="K1290" s="21">
        <v>17.2</v>
      </c>
      <c r="L1290" s="11">
        <v>2002</v>
      </c>
      <c r="M1290" s="11">
        <v>2004</v>
      </c>
      <c r="N1290" s="74">
        <v>46</v>
      </c>
      <c r="O1290" s="19" t="s">
        <v>67</v>
      </c>
      <c r="P1290" s="19" t="s">
        <v>5187</v>
      </c>
      <c r="Q1290" s="204"/>
    </row>
    <row r="1291" spans="1:17" ht="42" customHeight="1">
      <c r="A1291" s="213">
        <v>338</v>
      </c>
      <c r="B1291" s="40" t="s">
        <v>8313</v>
      </c>
      <c r="C1291" s="19" t="s">
        <v>8319</v>
      </c>
      <c r="D1291" s="204" t="s">
        <v>2398</v>
      </c>
      <c r="E1291" s="204" t="s">
        <v>2399</v>
      </c>
      <c r="F1291" s="11" t="s">
        <v>8323</v>
      </c>
      <c r="G1291" s="11" t="s">
        <v>8317</v>
      </c>
      <c r="H1291" s="26" t="s">
        <v>895</v>
      </c>
      <c r="I1291" s="21">
        <v>-8.7653958000000003</v>
      </c>
      <c r="J1291" s="21">
        <v>121.27408130000001</v>
      </c>
      <c r="K1291" s="21">
        <v>15</v>
      </c>
      <c r="L1291" s="11">
        <v>2002</v>
      </c>
      <c r="M1291" s="11">
        <v>2004</v>
      </c>
      <c r="N1291" s="74">
        <v>60</v>
      </c>
      <c r="O1291" s="19" t="s">
        <v>67</v>
      </c>
      <c r="P1291" s="19" t="s">
        <v>5187</v>
      </c>
      <c r="Q1291" s="204"/>
    </row>
    <row r="1292" spans="1:17" ht="41" customHeight="1">
      <c r="A1292" s="213">
        <v>338</v>
      </c>
      <c r="B1292" s="40" t="s">
        <v>8354</v>
      </c>
      <c r="C1292" s="19" t="s">
        <v>8356</v>
      </c>
      <c r="D1292" s="204" t="s">
        <v>2398</v>
      </c>
      <c r="E1292" s="204" t="s">
        <v>2400</v>
      </c>
      <c r="F1292" s="204" t="s">
        <v>2276</v>
      </c>
      <c r="G1292" s="11" t="s">
        <v>8316</v>
      </c>
      <c r="H1292" s="26" t="s">
        <v>895</v>
      </c>
      <c r="I1292" s="21">
        <f>AVERAGE(I1288:I1289)</f>
        <v>-9.7606125000000006</v>
      </c>
      <c r="J1292" s="21">
        <f>AVERAGE(J1288:J1289)</f>
        <v>120.25433425</v>
      </c>
      <c r="K1292" s="21">
        <f>SUM(K1288:K1289)</f>
        <v>86.5</v>
      </c>
      <c r="L1292" s="204">
        <v>2003</v>
      </c>
      <c r="M1292" s="204">
        <v>2004</v>
      </c>
      <c r="N1292" s="21">
        <f>AVERAGE(N1288*K1288, N1289*K1289)/SUM(K1288:K1289)</f>
        <v>11.196531791907514</v>
      </c>
      <c r="O1292" s="19" t="s">
        <v>67</v>
      </c>
      <c r="P1292" s="19" t="s">
        <v>5187</v>
      </c>
      <c r="Q1292" s="204" t="s">
        <v>8358</v>
      </c>
    </row>
    <row r="1293" spans="1:17" ht="34.5" customHeight="1">
      <c r="A1293" s="213">
        <v>338</v>
      </c>
      <c r="B1293" s="40" t="s">
        <v>8354</v>
      </c>
      <c r="C1293" s="19" t="s">
        <v>8357</v>
      </c>
      <c r="D1293" s="204" t="s">
        <v>2398</v>
      </c>
      <c r="E1293" s="204" t="s">
        <v>2400</v>
      </c>
      <c r="F1293" s="204" t="s">
        <v>2276</v>
      </c>
      <c r="G1293" s="11" t="s">
        <v>8317</v>
      </c>
      <c r="H1293" s="26" t="s">
        <v>895</v>
      </c>
      <c r="I1293" s="21">
        <f>AVERAGE(I1290:I1291)</f>
        <v>-8.7225106500000003</v>
      </c>
      <c r="J1293" s="21">
        <f>AVERAGE(J1290:J1291)</f>
        <v>121.23688145</v>
      </c>
      <c r="K1293" s="21">
        <f>SUM(K1290:K1291)</f>
        <v>32.200000000000003</v>
      </c>
      <c r="L1293" s="204">
        <v>2003</v>
      </c>
      <c r="M1293" s="204">
        <v>2004</v>
      </c>
      <c r="N1293" s="21">
        <f>AVERAGE(N1290*K1290, N1291*K1291)/SUM(K1290:K1291)</f>
        <v>26.260869565217387</v>
      </c>
      <c r="O1293" s="19" t="s">
        <v>67</v>
      </c>
      <c r="P1293" s="19" t="s">
        <v>5187</v>
      </c>
      <c r="Q1293" s="204" t="s">
        <v>8359</v>
      </c>
    </row>
    <row r="1294" spans="1:17" ht="48" customHeight="1">
      <c r="A1294" s="213">
        <v>339</v>
      </c>
      <c r="B1294" s="41" t="s">
        <v>8383</v>
      </c>
      <c r="C1294" s="19" t="s">
        <v>8355</v>
      </c>
      <c r="D1294" s="204" t="s">
        <v>2633</v>
      </c>
      <c r="E1294" s="204" t="s">
        <v>2399</v>
      </c>
      <c r="F1294" s="204" t="s">
        <v>2276</v>
      </c>
      <c r="G1294" s="11" t="s">
        <v>87</v>
      </c>
      <c r="H1294" s="26" t="s">
        <v>88</v>
      </c>
      <c r="I1294" s="21">
        <v>31.018273900000001</v>
      </c>
      <c r="J1294" s="21">
        <v>75.401169100000004</v>
      </c>
      <c r="K1294" s="21">
        <v>50362</v>
      </c>
      <c r="L1294" s="11">
        <v>2003</v>
      </c>
      <c r="M1294" s="11">
        <v>2003</v>
      </c>
      <c r="N1294" s="204" t="s">
        <v>2276</v>
      </c>
      <c r="O1294" s="19" t="s">
        <v>67</v>
      </c>
      <c r="P1294" s="19" t="s">
        <v>5187</v>
      </c>
      <c r="Q1294" s="204" t="s">
        <v>8385</v>
      </c>
    </row>
    <row r="1295" spans="1:17" ht="39" customHeight="1">
      <c r="A1295" s="213">
        <v>339</v>
      </c>
      <c r="B1295" s="41" t="s">
        <v>8383</v>
      </c>
      <c r="C1295" s="19" t="s">
        <v>8384</v>
      </c>
      <c r="D1295" s="204" t="s">
        <v>2633</v>
      </c>
      <c r="E1295" s="204" t="s">
        <v>2399</v>
      </c>
      <c r="F1295" s="204" t="s">
        <v>2276</v>
      </c>
      <c r="G1295" s="11" t="s">
        <v>90</v>
      </c>
      <c r="H1295" s="26" t="s">
        <v>88</v>
      </c>
      <c r="I1295" s="21">
        <v>29.282928999999999</v>
      </c>
      <c r="J1295" s="21">
        <v>76.026532000000003</v>
      </c>
      <c r="K1295" s="21">
        <v>44212</v>
      </c>
      <c r="L1295" s="11">
        <v>2003</v>
      </c>
      <c r="M1295" s="11">
        <v>2003</v>
      </c>
      <c r="N1295" s="204" t="s">
        <v>2276</v>
      </c>
      <c r="O1295" s="19" t="s">
        <v>67</v>
      </c>
      <c r="P1295" s="19" t="s">
        <v>5187</v>
      </c>
      <c r="Q1295" s="204" t="s">
        <v>8385</v>
      </c>
    </row>
    <row r="1296" spans="1:17" ht="33.5" customHeight="1">
      <c r="A1296" s="213">
        <v>339</v>
      </c>
      <c r="B1296" s="41" t="s">
        <v>8383</v>
      </c>
      <c r="C1296" s="19" t="s">
        <v>8390</v>
      </c>
      <c r="D1296" s="204" t="s">
        <v>2633</v>
      </c>
      <c r="E1296" s="204" t="s">
        <v>2399</v>
      </c>
      <c r="F1296" s="204" t="s">
        <v>2276</v>
      </c>
      <c r="G1296" s="11" t="s">
        <v>6277</v>
      </c>
      <c r="H1296" s="26" t="s">
        <v>88</v>
      </c>
      <c r="I1296" s="21">
        <v>27.141237</v>
      </c>
      <c r="J1296" s="21">
        <v>80.883381900000003</v>
      </c>
      <c r="K1296" s="21">
        <v>243286</v>
      </c>
      <c r="L1296" s="11">
        <v>2003</v>
      </c>
      <c r="M1296" s="11">
        <v>2003</v>
      </c>
      <c r="N1296" s="204" t="s">
        <v>2276</v>
      </c>
      <c r="O1296" s="19" t="s">
        <v>67</v>
      </c>
      <c r="P1296" s="19" t="s">
        <v>5187</v>
      </c>
      <c r="Q1296" s="204" t="s">
        <v>8391</v>
      </c>
    </row>
    <row r="1297" spans="1:17" ht="42.5" customHeight="1">
      <c r="A1297" s="213">
        <v>340</v>
      </c>
      <c r="B1297" s="40" t="s">
        <v>8414</v>
      </c>
      <c r="C1297" s="19" t="s">
        <v>8415</v>
      </c>
      <c r="D1297" s="204" t="s">
        <v>2398</v>
      </c>
      <c r="E1297" s="204" t="s">
        <v>2636</v>
      </c>
      <c r="F1297" s="204" t="s">
        <v>2276</v>
      </c>
      <c r="G1297" s="204" t="s">
        <v>2276</v>
      </c>
      <c r="H1297" s="26" t="s">
        <v>8416</v>
      </c>
      <c r="I1297" s="21">
        <v>52.5</v>
      </c>
      <c r="J1297" s="21">
        <v>-1</v>
      </c>
      <c r="K1297" s="21">
        <v>242495</v>
      </c>
      <c r="L1297" s="11">
        <v>1980</v>
      </c>
      <c r="M1297" s="11">
        <v>1995</v>
      </c>
      <c r="N1297" s="204" t="s">
        <v>2276</v>
      </c>
      <c r="O1297" s="19" t="s">
        <v>67</v>
      </c>
      <c r="P1297" s="19" t="s">
        <v>5187</v>
      </c>
      <c r="Q1297" s="204"/>
    </row>
    <row r="1298" spans="1:17" ht="40.5" customHeight="1">
      <c r="A1298" s="213">
        <v>340</v>
      </c>
      <c r="B1298" s="40" t="s">
        <v>8414</v>
      </c>
      <c r="C1298" s="19" t="s">
        <v>8420</v>
      </c>
      <c r="D1298" s="204" t="s">
        <v>2398</v>
      </c>
      <c r="E1298" s="204" t="s">
        <v>2636</v>
      </c>
      <c r="F1298" s="204" t="s">
        <v>8426</v>
      </c>
      <c r="G1298" s="204" t="s">
        <v>8425</v>
      </c>
      <c r="H1298" s="26" t="s">
        <v>5373</v>
      </c>
      <c r="I1298" s="21">
        <v>50.247115000000001</v>
      </c>
      <c r="J1298" s="21">
        <v>-98.555193700000004</v>
      </c>
      <c r="K1298" s="21" t="s">
        <v>2276</v>
      </c>
      <c r="L1298" s="11">
        <v>1992</v>
      </c>
      <c r="M1298" s="11">
        <v>1992</v>
      </c>
      <c r="N1298" s="204" t="s">
        <v>2276</v>
      </c>
      <c r="O1298" s="19" t="s">
        <v>67</v>
      </c>
      <c r="P1298" s="19" t="s">
        <v>5187</v>
      </c>
      <c r="Q1298" s="204"/>
    </row>
    <row r="1299" spans="1:17" ht="44.5" customHeight="1">
      <c r="A1299" s="213">
        <v>340</v>
      </c>
      <c r="B1299" s="41" t="s">
        <v>8423</v>
      </c>
      <c r="C1299" s="19" t="s">
        <v>8424</v>
      </c>
      <c r="D1299" s="204" t="s">
        <v>2633</v>
      </c>
      <c r="E1299" s="204" t="s">
        <v>2422</v>
      </c>
      <c r="F1299" s="204" t="s">
        <v>2276</v>
      </c>
      <c r="G1299" s="204" t="s">
        <v>4132</v>
      </c>
      <c r="H1299" s="26" t="s">
        <v>4112</v>
      </c>
      <c r="I1299" s="21">
        <v>52.5</v>
      </c>
      <c r="J1299" s="21">
        <v>-1</v>
      </c>
      <c r="K1299" s="21">
        <v>432970</v>
      </c>
      <c r="L1299" s="11">
        <v>1980</v>
      </c>
      <c r="M1299" s="11">
        <v>1998</v>
      </c>
      <c r="N1299" s="204" t="s">
        <v>2276</v>
      </c>
      <c r="O1299" s="19" t="s">
        <v>67</v>
      </c>
      <c r="P1299" s="19" t="s">
        <v>5187</v>
      </c>
      <c r="Q1299" s="204"/>
    </row>
    <row r="1300" spans="1:17" ht="36.5" customHeight="1">
      <c r="A1300" s="213">
        <v>340</v>
      </c>
      <c r="B1300" s="40" t="s">
        <v>8414</v>
      </c>
      <c r="C1300" s="19" t="s">
        <v>8433</v>
      </c>
      <c r="D1300" s="204" t="s">
        <v>2398</v>
      </c>
      <c r="E1300" s="204" t="s">
        <v>2636</v>
      </c>
      <c r="F1300" s="204" t="s">
        <v>2276</v>
      </c>
      <c r="G1300" s="204" t="s">
        <v>2276</v>
      </c>
      <c r="H1300" s="26" t="s">
        <v>4112</v>
      </c>
      <c r="I1300" s="21">
        <v>44.8743202</v>
      </c>
      <c r="J1300" s="21">
        <v>-97.972643399999995</v>
      </c>
      <c r="K1300" s="21" t="s">
        <v>2276</v>
      </c>
      <c r="L1300" s="11">
        <v>1985</v>
      </c>
      <c r="M1300" s="11">
        <v>1990</v>
      </c>
      <c r="N1300" s="204" t="s">
        <v>2276</v>
      </c>
      <c r="O1300" s="19" t="s">
        <v>67</v>
      </c>
      <c r="P1300" s="19" t="s">
        <v>5187</v>
      </c>
      <c r="Q1300" s="4" t="s">
        <v>8434</v>
      </c>
    </row>
  </sheetData>
  <autoFilter ref="A1:A1219" xr:uid="{F5111C01-59AE-4FFF-A3F5-858DED950471}"/>
  <phoneticPr fontId="6" type="noConversion"/>
  <dataValidations xWindow="1617" yWindow="897" count="12">
    <dataValidation allowBlank="1" showInputMessage="1" showErrorMessage="1" prompt="Study ID + letter denoting case study: 1a, 1b, 1c etc." sqref="C1:C2 C4:C543 B625 C55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F1035:F1056 G988:G996 G932 F925:F934 G936:G942 G945:G950 F943:F999 F1058 F1063:F1064 F1066:F1068 F1070:F1109 G1218:G1219 F1220 G1222:G1231 F1222:F1223 K1246:K1248 G1252:G1254 K1252:K1257 F1228:F1254 G1256 G1261:G1263 G1268:G1269 G1287:G1293 G1297:G1300 F1256: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0 G1233:G1248 G1250:G1251 G1255 G1257:G1260 G1264:G1267 H1284:H1286 G1270:G1283 G1294:G1296 G1301: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J1292:J1293 I1181: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291 J1294: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G1035:G1037 G1055 F1034 N925:N963 F1060:F1061 G1063 F1065 K1046:K1048 K1221:K1231 K1267 N988: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xr:uid="{523E1AD6-6A17-408D-A6C5-18BC760B4C96}"/>
    <hyperlink ref="B1020" r:id="rId674" xr:uid="{E928B54B-47EA-4172-93E6-D93147C024ED}"/>
    <hyperlink ref="B1022" r:id="rId675" xr:uid="{96EFE360-A400-4195-8949-55AE947737EF}"/>
    <hyperlink ref="B1016" r:id="rId676" xr:uid="{4BDADDAF-68A2-4386-810E-416EAB7DA492}"/>
    <hyperlink ref="B1018" r:id="rId677" xr:uid="{0E440199-7663-4A35-97FF-28D5EE130DBE}"/>
    <hyperlink ref="B1025" r:id="rId678" xr:uid="{99972C50-5B07-4F04-852D-C799622BDC9A}"/>
    <hyperlink ref="B1023" r:id="rId679" xr:uid="{FD5CF384-DFA3-4B5C-9E17-4B76CAA0F2F1}"/>
    <hyperlink ref="B1024" r:id="rId680" xr:uid="{F411DB31-F811-44F6-BAF8-ECEBA54D8F46}"/>
    <hyperlink ref="B1029" r:id="rId681" xr:uid="{62A9F433-22C0-4677-9E7E-C153134F4445}"/>
    <hyperlink ref="B1030" r:id="rId682" xr:uid="{64E3E683-00E3-4510-A87F-DF71A670C706}"/>
    <hyperlink ref="B1015" r:id="rId683" xr:uid="{32187420-5F38-46A4-A732-E8F4C5B96E38}"/>
    <hyperlink ref="B1017" r:id="rId684" xr:uid="{424F6BCB-2D9B-44D6-9498-3BFB7BDAAFC7}"/>
    <hyperlink ref="B1019" r:id="rId685" xr:uid="{DB4D4DD2-3E94-4C0B-A356-8FA84666BB36}"/>
    <hyperlink ref="B1021" r:id="rId686" xr:uid="{79BFCC69-13BB-4C63-8EAA-11E3ABD04E69}"/>
    <hyperlink ref="B1026" r:id="rId687" xr:uid="{521FD027-466D-4835-B9D7-6B48D948BDAF}"/>
    <hyperlink ref="B1027" r:id="rId688" xr:uid="{11FB6999-5844-4ABD-9D62-E93BE4AA078D}"/>
    <hyperlink ref="B1032" r:id="rId689" xr:uid="{00000000-0004-0000-0000-000000000000}"/>
    <hyperlink ref="B1033" r:id="rId690" xr:uid="{00000000-0004-0000-0000-000001000000}"/>
    <hyperlink ref="B1034" r:id="rId691" xr:uid="{00000000-0004-0000-0000-000002000000}"/>
    <hyperlink ref="B1031" r:id="rId692" xr:uid="{00000000-0004-0000-0000-000003000000}"/>
    <hyperlink ref="B1035" r:id="rId693" xr:uid="{00000000-0004-0000-0000-000004000000}"/>
    <hyperlink ref="B1039" r:id="rId694" xr:uid="{00000000-0004-0000-0000-000005000000}"/>
    <hyperlink ref="B1038" r:id="rId695" xr:uid="{00000000-0004-0000-0000-000006000000}"/>
    <hyperlink ref="B1041" r:id="rId696" xr:uid="{00000000-0004-0000-0000-000007000000}"/>
    <hyperlink ref="B1040" r:id="rId697" xr:uid="{00000000-0004-0000-0000-000008000000}"/>
    <hyperlink ref="B1036" r:id="rId698" xr:uid="{00000000-0004-0000-0000-000009000000}"/>
    <hyperlink ref="B1037" r:id="rId699" xr:uid="{00000000-0004-0000-0000-00000A000000}"/>
    <hyperlink ref="B1042" r:id="rId700" xr:uid="{00000000-0004-0000-0000-00000B000000}"/>
    <hyperlink ref="B1043" r:id="rId701" xr:uid="{00000000-0004-0000-0000-00000C000000}"/>
    <hyperlink ref="B1044" r:id="rId702" xr:uid="{00000000-0004-0000-0000-00000D000000}"/>
    <hyperlink ref="B1045" r:id="rId703" xr:uid="{00000000-0004-0000-0000-00000E000000}"/>
    <hyperlink ref="B1046" r:id="rId704" xr:uid="{00000000-0004-0000-0000-00000F000000}"/>
    <hyperlink ref="B1047" r:id="rId705" xr:uid="{00000000-0004-0000-0000-000010000000}"/>
    <hyperlink ref="B1048" r:id="rId706" xr:uid="{00000000-0004-0000-0000-000011000000}"/>
    <hyperlink ref="B1049" r:id="rId707" xr:uid="{00000000-0004-0000-0000-000012000000}"/>
    <hyperlink ref="B1050" r:id="rId708" xr:uid="{00000000-0004-0000-0000-000013000000}"/>
    <hyperlink ref="B1051" r:id="rId709" xr:uid="{00000000-0004-0000-0000-000014000000}"/>
    <hyperlink ref="B1052" r:id="rId710" xr:uid="{00000000-0004-0000-0000-000015000000}"/>
    <hyperlink ref="B1053" r:id="rId711" xr:uid="{00000000-0004-0000-0000-000016000000}"/>
    <hyperlink ref="B1054" r:id="rId712" xr:uid="{00000000-0004-0000-0000-000017000000}"/>
    <hyperlink ref="B1056" r:id="rId713" xr:uid="{00000000-0004-0000-0000-000018000000}"/>
    <hyperlink ref="B1057" r:id="rId714" xr:uid="{00000000-0004-0000-0000-000019000000}"/>
    <hyperlink ref="B929:B931" r:id="rId715" display="Keeley_2019" xr:uid="{81ED58AD-FD3E-4B52-A27B-85F88FE9553C}"/>
    <hyperlink ref="B949" r:id="rId716" xr:uid="{BA82E17F-089E-48B9-B96D-DF34EA779AE9}"/>
    <hyperlink ref="B950" r:id="rId717" xr:uid="{7C1533D9-7ADF-4653-917A-71F69CB7FC4D}"/>
    <hyperlink ref="B963" r:id="rId718" xr:uid="{FA5EF9B7-9B58-45C6-8C35-5CBC2535B2FD}"/>
    <hyperlink ref="B964" r:id="rId719" xr:uid="{7BF04FCC-FF46-47D6-A0F1-234B8C280515}"/>
    <hyperlink ref="B965" r:id="rId720" xr:uid="{20A87290-98AB-4C74-939F-0768EF0A4D41}"/>
    <hyperlink ref="B966" r:id="rId721" xr:uid="{EB8145EA-E546-43CF-AB78-FBFED8C9CBF4}"/>
    <hyperlink ref="B967" r:id="rId722" xr:uid="{ADDB4E1A-9732-48F9-B70C-378CD8E1D030}"/>
    <hyperlink ref="B968" r:id="rId723" xr:uid="{6FFD06A1-B275-4CAB-835C-5CCA1B40AF61}"/>
    <hyperlink ref="B969" r:id="rId724" xr:uid="{3CFFD5F7-7F0D-4746-BF81-937E3C97DC83}"/>
    <hyperlink ref="B970" r:id="rId725" xr:uid="{1712035B-AE61-4F8C-8A72-20EA9FE17729}"/>
    <hyperlink ref="B971" r:id="rId726" xr:uid="{4337F75C-D3D6-499B-81CA-8956F2298944}"/>
    <hyperlink ref="B972" r:id="rId727" xr:uid="{135F4444-C660-4F6B-A116-90DCDFDB30A6}"/>
    <hyperlink ref="B973" r:id="rId728" xr:uid="{9A9188ED-C325-43DF-AD74-CE340521A2CD}"/>
    <hyperlink ref="B974" r:id="rId729" xr:uid="{D4083F64-0CDE-46A1-8653-D8FBA5FC3F4B}"/>
    <hyperlink ref="B975" r:id="rId730" xr:uid="{09061A84-B898-4F33-BEC0-CF2754081C9F}"/>
    <hyperlink ref="B976" r:id="rId731" xr:uid="{DC501266-7CB6-4BDE-86A4-A24F30C77F0E}"/>
    <hyperlink ref="B977" r:id="rId732" xr:uid="{DF5CDCFF-6F04-4A17-A409-DDD58F780F45}"/>
    <hyperlink ref="B978" r:id="rId733" xr:uid="{7742C59A-EC39-41F6-94E8-72B1A7981ECF}"/>
    <hyperlink ref="B979" r:id="rId734" xr:uid="{6B49CFE1-8B5E-4CDE-A6FF-D7254318BD8A}"/>
    <hyperlink ref="B980" r:id="rId735" xr:uid="{C36618B7-BA45-4CD9-9EEE-20D7827E218F}"/>
    <hyperlink ref="B981" r:id="rId736" xr:uid="{C7D29AAF-18E5-4886-9CB4-CE30A9AEFAA3}"/>
    <hyperlink ref="B982" r:id="rId737" xr:uid="{552EAC18-CB87-4FF8-AC9E-63A170F151EE}"/>
    <hyperlink ref="B983" r:id="rId738" xr:uid="{142DA3FB-F774-42F7-AD68-1BF60384EE62}"/>
    <hyperlink ref="B984" r:id="rId739" xr:uid="{D5D2D6D8-5661-42E3-A0CE-E62442D69A5C}"/>
    <hyperlink ref="B985" r:id="rId740" xr:uid="{EC1B4FB6-7767-4ED6-994B-1CAB2E8D1569}"/>
    <hyperlink ref="B986" r:id="rId741" xr:uid="{40B0B93E-ADA5-4A1B-B7C2-C84267492AE7}"/>
    <hyperlink ref="B987" r:id="rId742" xr:uid="{E3A56EC0-81C5-44D0-B1E7-081949676084}"/>
    <hyperlink ref="B990" r:id="rId743" xr:uid="{915C7590-04EF-48E5-A8DA-51E603673036}"/>
    <hyperlink ref="B991" r:id="rId744" xr:uid="{EEDBEA5E-1927-4F9B-A902-643CE0FF93A9}"/>
    <hyperlink ref="B992" r:id="rId745" xr:uid="{C87502E8-F7A4-46BE-87DA-CB66A6138040}"/>
    <hyperlink ref="B993" r:id="rId746" xr:uid="{D88B0863-0F50-41B4-A304-E3EB4A02CE1A}"/>
    <hyperlink ref="B994" r:id="rId747" xr:uid="{F4087F16-F4DE-44B5-84FE-4BF4835764BA}"/>
    <hyperlink ref="B995" r:id="rId748" xr:uid="{716BEBAB-4D6A-4C5F-A972-556C3FBF5CB9}"/>
    <hyperlink ref="B996" r:id="rId749" xr:uid="{7DB8AB72-47B7-4D0E-B240-3BFCC00F31A3}"/>
    <hyperlink ref="B1058" r:id="rId750" xr:uid="{8BDF4851-3602-47F8-87C1-25CAF9F0D7A1}"/>
    <hyperlink ref="B1059" r:id="rId751" xr:uid="{54D29287-68CE-4EDD-8796-D4C995FD2EC3}"/>
    <hyperlink ref="B1060" r:id="rId752" xr:uid="{A005D498-FC36-44E2-A600-BCB25B8F9A7D}"/>
    <hyperlink ref="B1061" r:id="rId753" xr:uid="{73A534A6-82C5-4868-BEEC-67FF81E1EB22}"/>
    <hyperlink ref="B1062" r:id="rId754" xr:uid="{2D7388DF-B1A3-4429-A4EB-0B1AC5DE61F8}"/>
    <hyperlink ref="B1063" r:id="rId755" xr:uid="{B2E216B7-B094-4487-8B08-DE3AEA9356B7}"/>
    <hyperlink ref="B1064" r:id="rId756" xr:uid="{6D97F6A6-A6E1-415C-9832-27ACF14D5516}"/>
    <hyperlink ref="B1065" r:id="rId757" xr:uid="{C6B5C89A-5DD0-4EE6-AA0E-ACDA03EBA537}"/>
    <hyperlink ref="B1066" r:id="rId758" xr:uid="{A382DE3B-7C2C-44B8-B632-208B409F9728}"/>
    <hyperlink ref="B1067:B1068" r:id="rId759" display="Eloy 2016" xr:uid="{DEAE1BFA-3836-4594-A8BC-9E30108CA5D8}"/>
    <hyperlink ref="B1069" r:id="rId760" xr:uid="{2B2A5E1F-3AC6-463B-B7C0-A75C677B87F4}"/>
    <hyperlink ref="B1070" r:id="rId761" display="Caballero 2011" xr:uid="{67C81722-29A9-47BD-BDB2-E1C1DF573BA8}"/>
    <hyperlink ref="B1071" r:id="rId762" display="Caballero 2011" xr:uid="{65257CF8-ED26-4ABC-879E-91320851D14A}"/>
    <hyperlink ref="B1072" r:id="rId763" display="Caballero 2011" xr:uid="{5869C518-8975-4001-B295-9EC81DA818BA}"/>
    <hyperlink ref="B1073" r:id="rId764" display="Caballero 2011" xr:uid="{D6EB9ACA-D2A6-49C4-94F2-1FA2DD178805}"/>
    <hyperlink ref="B1074" r:id="rId765" display="Caballero 2011" xr:uid="{1719CCB1-23EB-42AF-95ED-56D47A517B9C}"/>
    <hyperlink ref="B1075" r:id="rId766" display="Caballero 2011" xr:uid="{23C53465-2C8E-4910-9FDF-FB3D1FB10CED}"/>
    <hyperlink ref="B1076" r:id="rId767" display="Caballero 2011" xr:uid="{A171E4B0-7D5C-47DF-B785-1E2FA042CD75}"/>
    <hyperlink ref="B1077" r:id="rId768" display="Caballero 2011" xr:uid="{B1D14D32-8C7C-4DB6-8C9F-FF45E4262E6B}"/>
    <hyperlink ref="B1078" r:id="rId769" display="Caballero 2011" xr:uid="{4BA0EDBE-EE87-4C25-A67C-FDCE20CE450D}"/>
    <hyperlink ref="B1079" r:id="rId770" display="Caballero 2011" xr:uid="{6A81E1DF-9D5B-4224-979D-C861FBC90703}"/>
    <hyperlink ref="B1080" r:id="rId771" display="Caballero 2011" xr:uid="{F42BD37D-81D0-4C09-B127-4A6E6B166EE6}"/>
    <hyperlink ref="B1081" r:id="rId772" display="Caballero 2011" xr:uid="{06B5A5FE-773B-48E6-B59F-4358708B6FEB}"/>
    <hyperlink ref="B1082" r:id="rId773" display="Caballero 2011" xr:uid="{ACF1F2D1-4EF6-419F-83C3-62A4316EE884}"/>
    <hyperlink ref="B1083" r:id="rId774" display="Caballero 2011" xr:uid="{7E9173B5-4827-4656-A5D4-0734AD21E383}"/>
    <hyperlink ref="B1084" r:id="rId775" display="Caballero 2011" xr:uid="{0EFD930F-7812-4E84-8A4B-1D9D10514871}"/>
    <hyperlink ref="B1085" r:id="rId776" display="Caballero 2011" xr:uid="{A3C9DFDF-6527-4C00-A0C3-9194CF3220CA}"/>
    <hyperlink ref="B1086" r:id="rId777" display="Caballero 2011" xr:uid="{F8361370-1E58-4DBC-8D39-8C5586164712}"/>
    <hyperlink ref="B1087" r:id="rId778" display="Caballero 2011" xr:uid="{B0CAA4C7-D62C-48D9-8543-7093AD21EAB6}"/>
    <hyperlink ref="B1088" r:id="rId779" display="Caballero 2011" xr:uid="{20322080-8CED-4075-B877-11805A118EE9}"/>
    <hyperlink ref="B1089" r:id="rId780" display="Caballero 2011" xr:uid="{B457985A-4194-4783-A12E-89763C4B18D1}"/>
    <hyperlink ref="B1090" r:id="rId781" display="Caballero 2011" xr:uid="{8F356603-D36C-4359-8F10-E2ED0D65DB8E}"/>
    <hyperlink ref="B1091" r:id="rId782" display="Caballero 2011" xr:uid="{009BB63F-44EB-4B71-BB59-DE8E0F0353FC}"/>
    <hyperlink ref="B1092" r:id="rId783" display="Caballero 2011" xr:uid="{6EC78847-34C2-4342-BFAB-AAC0F48DDD33}"/>
    <hyperlink ref="B1093" r:id="rId784" display="Caballero 2011" xr:uid="{8EE1622E-A1B4-4240-8C5B-C4E51FF0FB88}"/>
    <hyperlink ref="B1094" r:id="rId785" display="Caballero 2011" xr:uid="{AC23B910-B440-492A-AA92-0564466585C1}"/>
    <hyperlink ref="B1095" r:id="rId786" display="Caballero 2011" xr:uid="{44779127-4972-4930-B14B-89A6556D1D0E}"/>
    <hyperlink ref="B1096" r:id="rId787" display="Caballero 2011" xr:uid="{FBF1B8FC-1040-48CF-833E-C0FC82383948}"/>
    <hyperlink ref="B1097" r:id="rId788" display="Caballero 2011" xr:uid="{C83F2271-2781-492F-B11F-3294DD7B6BE9}"/>
    <hyperlink ref="B1098" r:id="rId789" display="Caballero 2011" xr:uid="{F078E13C-845B-42D6-A301-728E2E15C072}"/>
    <hyperlink ref="B1099" r:id="rId790" display="Caballero 2011" xr:uid="{DFF645CD-AA06-4297-8883-02EEBA677842}"/>
    <hyperlink ref="B1100" r:id="rId791" display="Caballero 2011" xr:uid="{41FAF507-7339-48A4-B7B0-9AAA65BD88B9}"/>
    <hyperlink ref="B1101" r:id="rId792" display="Caballero 2011" xr:uid="{08935987-1D2D-4AC3-A30C-FA07527C09E2}"/>
    <hyperlink ref="B1102" r:id="rId793" display="Caballero 2011" xr:uid="{A7629FBA-3768-4A10-BC3C-CB38220961AC}"/>
    <hyperlink ref="B1103" r:id="rId794" display="Caballero 2011" xr:uid="{B76A0B77-DD9E-496B-9E70-8595B3844953}"/>
    <hyperlink ref="B1104" r:id="rId795" display="Caballero 2011" xr:uid="{A47AA487-DFED-4457-B7E0-950363C7CB83}"/>
    <hyperlink ref="B1105" r:id="rId796" display="Caballero 2011" xr:uid="{C885F99B-E56D-47E1-B455-D2D348ED49C8}"/>
    <hyperlink ref="B1106" r:id="rId797" display="Caballero 2011" xr:uid="{52768419-8764-4695-BEE5-8DC06938FF22}"/>
    <hyperlink ref="B1107" r:id="rId798" display="Caballero 2011" xr:uid="{9ED83EC3-668E-4EE8-AB78-0B9BBD20E3C3}"/>
    <hyperlink ref="B1108" r:id="rId799" display="Caballero 2011" xr:uid="{B83BE2C8-063D-47C8-A4FE-FFB57A51707D}"/>
    <hyperlink ref="B1109" r:id="rId800" display="Caballero 2011" xr:uid="{D26A4995-7255-42EF-927B-89F71FC7D6B4}"/>
    <hyperlink ref="B1110:B1115" r:id="rId801" display="Fernandes 2013" xr:uid="{068F9213-E42B-4314-8BAC-9BE349903CB6}"/>
    <hyperlink ref="B1115" r:id="rId802" xr:uid="{A6561085-2B77-41A2-9BA3-5980211B3A06}"/>
    <hyperlink ref="B1116" r:id="rId803" xr:uid="{D68EB1E8-B318-450D-946C-20CF82FD7E88}"/>
    <hyperlink ref="B1117" r:id="rId804" xr:uid="{3C3854B1-66F2-4837-956D-CD5899651CC6}"/>
    <hyperlink ref="B1118" r:id="rId805" xr:uid="{4F830B22-950E-4FBE-911E-6CE91415C448}"/>
    <hyperlink ref="B1119" r:id="rId806" xr:uid="{935E60CB-07D0-4C6A-88A3-9FC4B0E60B78}"/>
    <hyperlink ref="B1120" r:id="rId807" xr:uid="{E66B9DF1-1B0A-408C-ACBD-1C8AB1645174}"/>
    <hyperlink ref="B1121" r:id="rId808" xr:uid="{65C6F086-8E01-40EF-AAD1-12C04615E942}"/>
    <hyperlink ref="B1122" r:id="rId809" xr:uid="{8F264958-AB4A-4DB4-B76D-46C69FE6D6D6}"/>
    <hyperlink ref="B1123" r:id="rId810" xr:uid="{D7388C74-D9EE-42A8-AFC4-A8864E1A213D}"/>
    <hyperlink ref="B1124" r:id="rId811" xr:uid="{F031C9E8-3C11-4C21-9F93-FE34EB1C6E17}"/>
    <hyperlink ref="B1125" r:id="rId812" xr:uid="{B3D85429-5D24-44B4-8C6C-709A37334265}"/>
    <hyperlink ref="B1126" r:id="rId813" xr:uid="{ABE6083D-8F59-4FA6-9FC4-AAB003E27CA0}"/>
    <hyperlink ref="B1127" r:id="rId814" xr:uid="{7449F71C-A4D3-4D23-A31E-759710EE2D1D}"/>
    <hyperlink ref="B1128" r:id="rId815" xr:uid="{8369C27B-A500-40FD-BDC7-5B6F7AC75051}"/>
    <hyperlink ref="B1129" r:id="rId816" xr:uid="{D7F6A2F6-7A22-4B43-A52C-5412959B9CBC}"/>
    <hyperlink ref="B1130" r:id="rId817" xr:uid="{1F5CA278-1568-4CF9-AC42-1B9F9BC7894F}"/>
    <hyperlink ref="B1131" r:id="rId818" xr:uid="{C6A09899-BF2D-4900-8DA3-020EE6C5F895}"/>
    <hyperlink ref="B1132" r:id="rId819" xr:uid="{52930C38-321B-47ED-B67B-540F4A436D1F}"/>
    <hyperlink ref="B1133" r:id="rId820" xr:uid="{1AA74B36-C424-4BB5-B4A9-7AC3C36ED513}"/>
    <hyperlink ref="B1134" r:id="rId821" xr:uid="{173EDFA1-FA09-4646-AF09-1A2BC45A6C92}"/>
    <hyperlink ref="B1135" r:id="rId822" xr:uid="{F6AFB9E0-2DBC-46C8-848C-27C98D66329C}"/>
    <hyperlink ref="B1136" r:id="rId823" xr:uid="{1A991198-6473-431B-9EEC-3DFA4FD2FEC7}"/>
    <hyperlink ref="B1137" r:id="rId824" xr:uid="{FC31AA0A-EF59-4EF0-801C-BBC1C8510BE5}"/>
    <hyperlink ref="B1138" r:id="rId825" xr:uid="{7E0A0202-D189-4C9F-8D45-D519AAECB085}"/>
    <hyperlink ref="B1139" r:id="rId826" xr:uid="{E40D6504-7CFD-48CC-845C-E8B0A47C658A}"/>
    <hyperlink ref="B1140" r:id="rId827" xr:uid="{C8680297-CDDD-460F-A57B-DBD08D55E000}"/>
    <hyperlink ref="B1141" r:id="rId828" xr:uid="{D9C4E4E6-D283-41BD-8FD5-04A5DE4319F1}"/>
    <hyperlink ref="B1142" r:id="rId829" xr:uid="{9B59A8AA-FFDC-49B5-8FC8-09ADF4645123}"/>
    <hyperlink ref="B1143" r:id="rId830" xr:uid="{D39AB126-C37C-4321-A69D-DA83C5D735F5}"/>
    <hyperlink ref="B1144" r:id="rId831" xr:uid="{2E19B4CB-FE35-4A03-BE94-455A4EE23E0B}"/>
    <hyperlink ref="B1145" r:id="rId832" xr:uid="{EB323D39-6E50-4ABE-A484-E4523C6E477E}"/>
    <hyperlink ref="B1146" r:id="rId833" xr:uid="{F36DACFD-305A-40C4-827C-8D07F190265E}"/>
    <hyperlink ref="B1147" r:id="rId834" xr:uid="{D636E45F-1E54-47E8-AD40-3709EA35EBCA}"/>
    <hyperlink ref="B1148" r:id="rId835" xr:uid="{28B4A57D-44D3-40BA-8821-5497CDCE17A0}"/>
    <hyperlink ref="B1149" r:id="rId836" xr:uid="{31625ED8-71CF-4244-8C6C-2B89AA1D883F}"/>
    <hyperlink ref="B1150" r:id="rId837" xr:uid="{D38E64E5-E741-40CB-BBD1-BDC81EC825A5}"/>
    <hyperlink ref="B1151" r:id="rId838" xr:uid="{143926AE-3073-4EB7-BB07-BEC503B6C860}"/>
    <hyperlink ref="B1152" r:id="rId839" xr:uid="{6E21F601-2ED1-44AC-9554-4212567C57DE}"/>
    <hyperlink ref="B1153" r:id="rId840" xr:uid="{1FD67231-5E2D-455E-A3CD-D8EF29778411}"/>
    <hyperlink ref="B1154" r:id="rId841" xr:uid="{09EE47BF-38F0-4CC0-8C97-15C038CFB3AB}"/>
    <hyperlink ref="B1155" r:id="rId842" xr:uid="{02F71FDC-EC30-41B9-B985-594754911FE3}"/>
    <hyperlink ref="B1156" r:id="rId843" xr:uid="{A9A2AB75-E629-4130-84F5-422246DBD85A}"/>
    <hyperlink ref="B1157" r:id="rId844" xr:uid="{AD567F1E-88CF-4370-847B-E6508B32DBFF}"/>
    <hyperlink ref="B1158" r:id="rId845" xr:uid="{8A8F4214-F552-4480-B9F8-65E80D263BB3}"/>
    <hyperlink ref="B1159" r:id="rId846" xr:uid="{4DE71112-8350-4232-8023-A604DB4DA960}"/>
    <hyperlink ref="B1160" r:id="rId847" xr:uid="{1B4BB719-7A9B-408F-960E-18A767D6985D}"/>
    <hyperlink ref="B1161" r:id="rId848" xr:uid="{079E09D6-B5DA-4BD6-802D-AD88550E4E53}"/>
    <hyperlink ref="B1162" r:id="rId849" xr:uid="{ABD8D34A-C86D-4F43-A414-AC090A7689B5}"/>
    <hyperlink ref="B1163" r:id="rId850" xr:uid="{6E0CFCB8-545B-4EC1-90FD-FAA4F06AC6D9}"/>
    <hyperlink ref="B1164" r:id="rId851" xr:uid="{7E20BA0B-5AD4-4808-BE52-F754BCA72054}"/>
    <hyperlink ref="B1165" r:id="rId852" xr:uid="{AF68B5AB-9B5E-4A06-93F0-B5C7EBB338D4}"/>
    <hyperlink ref="B1166" r:id="rId853" xr:uid="{41DADDE5-D696-48AA-B0E5-C37273B1CFDC}"/>
    <hyperlink ref="B1167" r:id="rId854" xr:uid="{4DE0A9E1-0455-4375-B82C-4C568D8877D1}"/>
    <hyperlink ref="B1168" r:id="rId855" xr:uid="{F0381485-EF40-4EDD-BE96-5992F84E2B67}"/>
    <hyperlink ref="B1169" r:id="rId856" xr:uid="{905088C7-AFF7-43DD-B2C4-7E0FE91F819E}"/>
    <hyperlink ref="B1170" r:id="rId857" xr:uid="{AE7BB22F-E86F-46B9-A106-F6D0AB00625F}"/>
    <hyperlink ref="B1171" r:id="rId858" xr:uid="{977965D0-51A3-40F3-BC45-42A51F601920}"/>
    <hyperlink ref="B1172" r:id="rId859" xr:uid="{EA3EF0EA-91F3-4952-A134-073B7F3BE564}"/>
    <hyperlink ref="B1173" r:id="rId860" xr:uid="{A18B959C-2DC9-41C0-A3E9-8D36A1230862}"/>
    <hyperlink ref="B1174" r:id="rId861" xr:uid="{ED661D59-E35C-4566-9C32-034D6221D23D}"/>
    <hyperlink ref="B1175" r:id="rId862" xr:uid="{B748F9EF-2118-480D-82E9-B38C1DA21FD0}"/>
    <hyperlink ref="B1176" r:id="rId863" xr:uid="{4DCA195D-A0BB-4566-B222-73DE6BD903E9}"/>
    <hyperlink ref="B1177" r:id="rId864" xr:uid="{26C4561C-5C01-4BAE-9A4A-7EDC1301F069}"/>
    <hyperlink ref="B1178" r:id="rId865" xr:uid="{8E35946B-4535-4FBA-820B-C2A210615730}"/>
    <hyperlink ref="B1179" r:id="rId866" xr:uid="{CE14BE76-BD4C-47F2-B2A7-5495208D865D}"/>
    <hyperlink ref="B1180" r:id="rId867" xr:uid="{40F679C1-C964-4627-855C-379EA1A58CE3}"/>
    <hyperlink ref="B1181" r:id="rId868" xr:uid="{CB525611-1E74-4F24-97B4-DDD0080DAE6D}"/>
    <hyperlink ref="B1182" r:id="rId869" xr:uid="{7270CD36-CEE0-4487-8F44-4D6CCBFF120A}"/>
    <hyperlink ref="B1183" r:id="rId870" xr:uid="{1A10DE54-FB42-456F-9A27-00DEEDC696BE}"/>
    <hyperlink ref="B1184" r:id="rId871" xr:uid="{9A1B59A6-BDD1-483C-AC93-7066FE228481}"/>
    <hyperlink ref="B1185" r:id="rId872" xr:uid="{3A18A231-E7B5-475A-9BA4-B7C105790FA5}"/>
    <hyperlink ref="B1186" r:id="rId873" xr:uid="{6BC817DF-8760-4D69-8FE4-3F472D5F98B0}"/>
    <hyperlink ref="B1187" r:id="rId874" xr:uid="{16AA27C2-AF38-43E8-A28A-92F27551762A}"/>
    <hyperlink ref="B1188" r:id="rId875" xr:uid="{9BE13563-AEFA-49D7-8063-9015CACFE74A}"/>
    <hyperlink ref="B1189" r:id="rId876" xr:uid="{2CB3C9A0-06E8-4A99-9C89-BB2E9D99F400}"/>
    <hyperlink ref="B1190" r:id="rId877" xr:uid="{10EC0779-10A4-4188-AD01-ABBCFCF5C5A8}"/>
    <hyperlink ref="B1191" r:id="rId878" xr:uid="{26383AA3-0255-45C0-BC99-A374A256C788}"/>
    <hyperlink ref="B1192" r:id="rId879" xr:uid="{42BD0865-8BE8-4398-97FD-D64B339C0E83}"/>
    <hyperlink ref="B1193" r:id="rId880" xr:uid="{4C778C08-362E-42F3-A8F0-F4E52FCD09FC}"/>
    <hyperlink ref="B1194" r:id="rId881" xr:uid="{828B5A9D-7D77-49B2-9E4D-D00ACE56BD49}"/>
    <hyperlink ref="B1195" r:id="rId882" xr:uid="{0B9C3C43-304F-42E4-81FD-29E7F1C70C27}"/>
    <hyperlink ref="B1196" r:id="rId883" xr:uid="{C2D40117-9739-4537-A0D7-973D5B0736BC}"/>
    <hyperlink ref="B1197" r:id="rId884" xr:uid="{0C96B139-F5EB-4425-B7E8-1F65614801DA}"/>
    <hyperlink ref="B1198" r:id="rId885" xr:uid="{74C5A921-C319-401C-9B0D-19E9C40985CC}"/>
    <hyperlink ref="B1199" r:id="rId886" xr:uid="{78C63E9A-CEB4-4D0C-BBAE-2E764A776933}"/>
    <hyperlink ref="B1200" r:id="rId887" xr:uid="{80C84C13-CEF2-4D7C-A938-87C4FA945F99}"/>
    <hyperlink ref="B1201" r:id="rId888" xr:uid="{C9FCFCBE-3426-4577-99EE-799460479525}"/>
    <hyperlink ref="B1202" r:id="rId889" xr:uid="{B484AA72-6AE2-4A14-9033-4F0B0BF106FF}"/>
    <hyperlink ref="B1203" r:id="rId890" xr:uid="{0C1DA364-930D-442E-9469-6C6CD3B50237}"/>
    <hyperlink ref="B1204" r:id="rId891" xr:uid="{FDEA401C-D25F-40CA-8E0A-48751F08272D}"/>
    <hyperlink ref="B1205" r:id="rId892" xr:uid="{AC44522A-E3D5-4C6F-8C4F-CD70BE92F4C6}"/>
    <hyperlink ref="B1206" r:id="rId893" xr:uid="{5B950A6D-4F72-4BE7-8F33-443F0CF652D2}"/>
    <hyperlink ref="B1207" r:id="rId894" xr:uid="{5E9EA767-591D-4D2F-B541-CC96192592E1}"/>
    <hyperlink ref="B1208" r:id="rId895" xr:uid="{B88DBD61-4BB8-43CD-B6AE-F67AC447E202}"/>
    <hyperlink ref="B1209" r:id="rId896" xr:uid="{3D63A7B5-B1D8-46F3-B244-22A64973D3F1}"/>
    <hyperlink ref="B1210" r:id="rId897" xr:uid="{262A76CE-9291-4BF1-B106-D2E528576751}"/>
    <hyperlink ref="B1211" r:id="rId898" xr:uid="{6EBECAF7-2FBB-4319-8F5A-48519C7B8641}"/>
    <hyperlink ref="B1212" r:id="rId899" xr:uid="{75F794C3-4BBD-460D-BCC9-06CA273A8123}"/>
    <hyperlink ref="B1213" r:id="rId900" xr:uid="{91CBE925-1C33-47C4-8309-2DD52D1D7B3E}"/>
    <hyperlink ref="B1214" r:id="rId901" xr:uid="{BB919ECA-1FBC-4A4D-B5ED-D4593E542C72}"/>
    <hyperlink ref="B1215" r:id="rId902" xr:uid="{8759B751-56C4-42D2-AF61-9A50C34228E4}"/>
    <hyperlink ref="B1216" r:id="rId903" xr:uid="{2B837AA3-C7E3-4B89-BA52-676920717A09}"/>
    <hyperlink ref="B1217" r:id="rId904" xr:uid="{2558871D-0529-477F-88FD-42669B98A5EC}"/>
    <hyperlink ref="B1218" r:id="rId905" xr:uid="{CF132BDD-B05C-4315-B4C5-1F36C66A1325}"/>
    <hyperlink ref="B1219" r:id="rId906" xr:uid="{21569191-A739-48AA-8664-DDBEBFCC51F6}"/>
    <hyperlink ref="B1220" r:id="rId907" xr:uid="{9A2B8348-57D1-42B0-9726-63AA60DB8DB1}"/>
    <hyperlink ref="B1221" r:id="rId908" xr:uid="{B48DDE5D-9B78-4818-8AFC-910A4EAF69B3}"/>
    <hyperlink ref="Q1221" r:id="rId909" xr:uid="{AA85A300-AE09-4F36-9615-614860C488CB}"/>
    <hyperlink ref="B1222" r:id="rId910" xr:uid="{9CC701C4-0D85-4B71-A2C9-7E288A8B8BF5}"/>
    <hyperlink ref="B1223" r:id="rId911" xr:uid="{53DDAAB7-D8B0-4AB7-8E56-ED572DA123F8}"/>
    <hyperlink ref="B1224" r:id="rId912" xr:uid="{0661E1C9-6145-4FD9-954C-B98F736CC819}"/>
    <hyperlink ref="B1225" r:id="rId913" xr:uid="{3EDB86A5-69D0-4B4B-AE8E-03A46674CDE0}"/>
    <hyperlink ref="B1226" r:id="rId914" xr:uid="{7B3D2E29-1869-4B18-877F-8DFF6A39CA77}"/>
    <hyperlink ref="B1227" r:id="rId915" xr:uid="{CF274889-1D5C-4F35-9A90-6442B05FCF26}"/>
    <hyperlink ref="B1228" r:id="rId916" xr:uid="{903D40B8-F712-4C4F-AED5-430A616AD5FD}"/>
    <hyperlink ref="B1229" r:id="rId917" xr:uid="{E4736202-9FAD-4FA6-9214-5661DFED3C8E}"/>
    <hyperlink ref="B1230" r:id="rId918" xr:uid="{8416223D-F6A3-40CF-A68A-368E42300470}"/>
    <hyperlink ref="B1231" r:id="rId919" xr:uid="{F768984C-8243-4F62-84CF-56C14559C2CF}"/>
    <hyperlink ref="B1232" r:id="rId920" xr:uid="{8AB6FB99-B723-445C-A2F1-AF987A0E1580}"/>
    <hyperlink ref="B1233" r:id="rId921" xr:uid="{5D2BDACD-0E03-41F0-AF36-B69D13A8C358}"/>
    <hyperlink ref="B1234:B1242" r:id="rId922" display="Pavleichik 2017" xr:uid="{798A9FAD-19C3-4772-9AE0-C6E2BB0F73AA}"/>
    <hyperlink ref="B1243" r:id="rId923" xr:uid="{04325BB0-11B9-492C-8AA0-35ECF55AB873}"/>
    <hyperlink ref="B1244" r:id="rId924" xr:uid="{6252ADF4-918B-487B-9240-933EBC91DA83}"/>
    <hyperlink ref="B1245" r:id="rId925" xr:uid="{A36D5C78-AE21-4741-8613-B021E00D9AAB}"/>
    <hyperlink ref="B1246" r:id="rId926" xr:uid="{63EF858C-630D-48A7-B980-22C551819E6D}"/>
    <hyperlink ref="B1247" r:id="rId927" xr:uid="{FF3A350E-D724-4F79-9439-B7566199EC86}"/>
    <hyperlink ref="B1248" r:id="rId928" xr:uid="{D8F0DCB7-76F6-4DC0-9B2A-0E2E492D544A}"/>
    <hyperlink ref="B1249" r:id="rId929" xr:uid="{2685B421-03E3-466B-A5FD-2FB51562F5AB}"/>
    <hyperlink ref="B1250" r:id="rId930" xr:uid="{BA616B1D-047F-4389-A858-BB44224E45FC}"/>
    <hyperlink ref="B1251" r:id="rId931" xr:uid="{A72A0DA5-BBD5-4C4F-A61F-F5EA366B92B8}"/>
    <hyperlink ref="B1252" r:id="rId932" xr:uid="{F87A07C5-8485-4C9D-8989-3EBDF1FB238F}"/>
    <hyperlink ref="B1253" r:id="rId933" xr:uid="{E747C00B-E2A8-4176-AFD6-4F67ACFD4F4E}"/>
    <hyperlink ref="B1254" r:id="rId934" xr:uid="{7D110D34-6159-43C7-87F3-4C9C5F1F746B}"/>
    <hyperlink ref="B1255" r:id="rId935" xr:uid="{07333323-6032-46E9-B6F3-A26D0652D34D}"/>
    <hyperlink ref="B1256" r:id="rId936" xr:uid="{17D4D8C4-9BF6-4A95-992D-E051A1C25EDB}"/>
    <hyperlink ref="B1257" r:id="rId937" xr:uid="{46C82B56-CEBC-4AE1-AD06-764682C820F1}"/>
    <hyperlink ref="B1258" r:id="rId938" xr:uid="{EF0C8DB2-F064-491E-A123-0F83FDAD2D71}"/>
    <hyperlink ref="B1260" r:id="rId939" xr:uid="{12FF3E2F-3698-4E50-9E2B-F458988E3475}"/>
    <hyperlink ref="B1259" r:id="rId940" xr:uid="{E4883DBA-3C1B-460C-937D-8A7B7D4E2FF2}"/>
    <hyperlink ref="B1261" r:id="rId941" xr:uid="{6721A1E2-80A8-4C63-BD31-E7DBB8460975}"/>
    <hyperlink ref="B1262" r:id="rId942" xr:uid="{302C830B-8BF4-4CD9-8378-039CD1902184}"/>
    <hyperlink ref="B1263" r:id="rId943" xr:uid="{EE206AC3-A876-41F1-A3F7-034234EC6A46}"/>
    <hyperlink ref="B1264" r:id="rId944" xr:uid="{6CEEEF50-AB1E-456D-A4FF-3E3D91076FE0}"/>
    <hyperlink ref="B1265" r:id="rId945" xr:uid="{B7DA6ABB-C428-4EDA-80A4-27CEE6465793}"/>
    <hyperlink ref="B1266" r:id="rId946" xr:uid="{FEBDE4ED-AF5F-4A52-BE1D-92E4B69EC9AC}"/>
    <hyperlink ref="B1267" r:id="rId947" xr:uid="{B8E8F1CB-830B-4609-A89E-C5BFA14A8C04}"/>
    <hyperlink ref="B1268" r:id="rId948" xr:uid="{638D8575-1B57-49FF-904D-B041CE25D652}"/>
    <hyperlink ref="B1269" r:id="rId949" xr:uid="{FF7D3F3A-363A-4F60-931E-0320E2F244EB}"/>
    <hyperlink ref="B1270" r:id="rId950" xr:uid="{EF02F299-2CD9-4C38-A64F-A08B4C5C262D}"/>
    <hyperlink ref="B1271" r:id="rId951" xr:uid="{416AA7C5-59B3-4C4E-B4ED-A4ABB098E906}"/>
    <hyperlink ref="B1272" r:id="rId952" xr:uid="{9304AE7E-8C73-449C-A718-3A4FC9F80C6F}"/>
    <hyperlink ref="B1273" r:id="rId953" xr:uid="{57F11B2E-C2F7-4F3F-8EF9-A63A14F14A1B}"/>
    <hyperlink ref="B1274" r:id="rId954" xr:uid="{37C79228-5215-4874-BB94-85497D89FF89}"/>
    <hyperlink ref="B1275" r:id="rId955" xr:uid="{CFFAEF68-597F-473A-AF6C-9AEEFB0BFC95}"/>
    <hyperlink ref="B1276" r:id="rId956" xr:uid="{6E3222E4-6555-4132-A0E8-189EC8FF7511}"/>
    <hyperlink ref="B1277" r:id="rId957" xr:uid="{A7261E10-EEA7-4147-8138-B9D11019A35A}"/>
    <hyperlink ref="B1278" r:id="rId958" xr:uid="{AFDA0FB3-9AA7-46C0-8D3C-FF9E7B5A6CB0}"/>
    <hyperlink ref="B1279" r:id="rId959" display="Leverkus 2018" xr:uid="{AF6854E9-4B02-439B-A7AD-3C84CC1DADD5}"/>
    <hyperlink ref="B1280" r:id="rId960" display="Leverkus 2018" xr:uid="{A9CBA4A6-8D43-4402-9E41-57EF90C23A1B}"/>
    <hyperlink ref="B1281" r:id="rId961" display="Leverkus 2018" xr:uid="{F0AC14CE-F1F6-471D-AE49-0F11059CB7A2}"/>
    <hyperlink ref="B1282" r:id="rId962" xr:uid="{19E8B699-E3A9-4119-AFF5-F9BB665D3424}"/>
    <hyperlink ref="B1283" r:id="rId963" xr:uid="{0580D2EC-53F4-4868-8434-9229445D0DB5}"/>
    <hyperlink ref="B1284" r:id="rId964" xr:uid="{7B4B6A1C-0E12-4F00-9AA6-79AA04727E99}"/>
    <hyperlink ref="B1285" r:id="rId965" xr:uid="{BE63F177-ED60-4C0E-B07F-8D413512E0BE}"/>
    <hyperlink ref="B1286" r:id="rId966" xr:uid="{AC1E5168-6698-4082-B766-99FB7A6B7C1E}"/>
    <hyperlink ref="B1287" r:id="rId967" xr:uid="{46D2FA61-2ED1-43AE-8ECC-EBCC659C5769}"/>
    <hyperlink ref="B1288" r:id="rId968" xr:uid="{7783BB38-8DC8-4C0B-924D-D95864E5A60E}"/>
    <hyperlink ref="B1289" r:id="rId969" xr:uid="{06A2C2B0-EC1E-472D-B111-D2F84E272BC6}"/>
    <hyperlink ref="B1290" r:id="rId970" xr:uid="{59351DA6-16BC-436D-946E-CB8857D1EF61}"/>
    <hyperlink ref="B1291" r:id="rId971" xr:uid="{61A919EB-2308-4F56-A4D0-FCE8E22AA9FF}"/>
    <hyperlink ref="B1292" r:id="rId972" xr:uid="{31CE6F97-880C-43DD-8411-F42E676DD91C}"/>
    <hyperlink ref="B1293" r:id="rId973" xr:uid="{066FBA05-D009-4B55-BCA2-0CC54AD208F2}"/>
    <hyperlink ref="B1294" r:id="rId974" location="v=onepage&amp;q&amp;f=false" xr:uid="{99748A36-9EC6-470B-B989-2B90DC94DFEC}"/>
    <hyperlink ref="B1295" r:id="rId975" location="v=onepage&amp;q&amp;f=false" xr:uid="{6D11EAE1-ABFF-4DF9-A679-F0982A449E44}"/>
    <hyperlink ref="B1296" r:id="rId976" location="v=onepage&amp;q&amp;f=false" xr:uid="{CE6544D5-7DEA-41D2-A424-B34855A769C0}"/>
    <hyperlink ref="B1297" r:id="rId977" xr:uid="{DBFB8980-3B03-489C-AE21-88DFEFD3CE5F}"/>
    <hyperlink ref="B1299" r:id="rId978" display="Smil 1999" xr:uid="{07CA7A62-8C91-4305-853D-9DEE473EF248}"/>
    <hyperlink ref="B1298" r:id="rId979" xr:uid="{0D68574D-4088-43F7-9453-BEB7E9DA96DB}"/>
    <hyperlink ref="B1300" r:id="rId980" xr:uid="{4A4A620A-3465-4A94-9E98-1FBDDCD661E7}"/>
  </hyperlinks>
  <pageMargins left="0.7" right="0.7" top="0.75" bottom="0.75" header="0.3" footer="0.3"/>
  <pageSetup orientation="portrait" r:id="rId981"/>
  <extLst>
    <ext xmlns:x14="http://schemas.microsoft.com/office/spreadsheetml/2009/9/main" uri="{CCE6A557-97BC-4b89-ADB6-D9C93CAAB3DF}">
      <x14:dataValidations xmlns:xm="http://schemas.microsoft.com/office/excel/2006/main" xWindow="1617" yWindow="897" count="10">
        <x14:dataValidation type="list" allowBlank="1" showInputMessage="1" showErrorMessage="1" prompt="One of: Academic, NGO, Government" xr:uid="{073DF15C-33D9-4998-810E-43EF7718177A}">
          <x14:formula1>
            <xm:f>'IGNORE Lookups'!$A$3:$A$6</xm:f>
          </x14:formula1>
          <xm:sqref>D1:D926 D1031:D1048576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E964:E996 E1:E926 E929:E942 E944:E945 E950 E1031:E1048576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prompt="One of: Primary, remote sensing, secondary, review (or combinations). If other, add note. " xr:uid="{A26D40F2-3F05-48D6-856A-3D3B7E275608}">
          <x14:formula1>
            <xm:f>'C:\Users\Oli\Documents\PhD\Model development\Data\Collaborators\Current Contributor Versions\[Fire Database Ben v2.xlsx]IGNORE Lookups'!#REF!</xm:f>
          </x14:formula1>
          <xm:sqref>E927:E928 E943 E951:E962 E946:E948</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Primary, remote sensing, secondary, review (or combinations). If other, add note. " xr:uid="{E44A2E4D-FF01-4AD6-8CB6-8FCDB18D1770}">
          <x14:formula1>
            <xm:f>'C:\Users\Oli\Documents\PhD\Model development\Data\Collaborators\Current Contributor Versions\[Adam''s fire data.xlsx]IGNORE Lookups'!#REF!</xm:f>
          </x14:formula1>
          <xm:sqref>E997:E1030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prompt="One of: Primary, remote sensing, secondary, review (or combinations). If other, add note. " xr:uid="{C8E33DFC-FC47-4AF3-A7A1-5EAE90283D3E}">
          <x14:formula1>
            <xm:f>'IGNORE Lookups'!$B$3:$B$15</xm:f>
          </x14:formula1>
          <xm:sqref>E949 E963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1300"/>
  <sheetViews>
    <sheetView zoomScale="55" zoomScaleNormal="55" workbookViewId="0">
      <pane ySplit="1" topLeftCell="A1293" activePane="bottomLeft" state="frozen"/>
      <selection pane="bottomLeft" activeCell="A1300" sqref="A1300"/>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27.5"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29">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29">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29">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29">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29">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29">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29">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29">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6640</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6646</v>
      </c>
    </row>
    <row r="930" spans="1:20" s="205" customFormat="1" ht="36" customHeight="1">
      <c r="A930" s="48" t="s">
        <v>6641</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6646</v>
      </c>
    </row>
    <row r="931" spans="1:20" s="205" customFormat="1" ht="36" customHeight="1">
      <c r="A931" s="48" t="s">
        <v>6642</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6646</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6676</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6685</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6166</v>
      </c>
      <c r="B949" s="11" t="s">
        <v>32</v>
      </c>
      <c r="C949" s="204" t="s">
        <v>12</v>
      </c>
      <c r="D949" s="4" t="s">
        <v>3855</v>
      </c>
      <c r="E949" s="11" t="s">
        <v>5801</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6805</v>
      </c>
    </row>
    <row r="950" spans="1:20" s="205" customFormat="1" ht="36" customHeight="1">
      <c r="A950" s="49" t="s">
        <v>6167</v>
      </c>
      <c r="B950" s="11" t="s">
        <v>32</v>
      </c>
      <c r="C950" s="204"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6803</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6868</v>
      </c>
    </row>
    <row r="965" spans="1:20" s="205" customFormat="1" ht="36" customHeight="1">
      <c r="A965" s="19" t="s">
        <v>6812</v>
      </c>
      <c r="B965" s="11" t="s">
        <v>2276</v>
      </c>
      <c r="C965" s="4" t="s">
        <v>2646</v>
      </c>
      <c r="D965" s="19" t="s">
        <v>3855</v>
      </c>
      <c r="E965" s="11" t="s">
        <v>5801</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5" customFormat="1" ht="36" customHeight="1">
      <c r="A966" s="19" t="s">
        <v>6813</v>
      </c>
      <c r="B966" s="11" t="s">
        <v>2276</v>
      </c>
      <c r="C966" s="4" t="s">
        <v>2646</v>
      </c>
      <c r="D966" s="11" t="s">
        <v>5801</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5" customFormat="1" ht="36" customHeight="1">
      <c r="A967" s="19" t="s">
        <v>6814</v>
      </c>
      <c r="B967" s="11" t="s">
        <v>2276</v>
      </c>
      <c r="C967" s="4" t="s">
        <v>2646</v>
      </c>
      <c r="D967" s="11" t="s">
        <v>5801</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6868</v>
      </c>
    </row>
    <row r="968" spans="1:20" s="205" customFormat="1" ht="36" customHeight="1">
      <c r="A968" s="19" t="s">
        <v>6815</v>
      </c>
      <c r="B968" s="11" t="s">
        <v>2276</v>
      </c>
      <c r="C968" s="4" t="s">
        <v>2646</v>
      </c>
      <c r="D968" s="19" t="s">
        <v>3855</v>
      </c>
      <c r="E968" s="11" t="s">
        <v>5801</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5" customFormat="1" ht="36" customHeight="1">
      <c r="A969" s="19" t="s">
        <v>6816</v>
      </c>
      <c r="B969" s="11" t="s">
        <v>2276</v>
      </c>
      <c r="C969" s="4" t="s">
        <v>2646</v>
      </c>
      <c r="D969" s="19" t="s">
        <v>3855</v>
      </c>
      <c r="E969" s="11" t="s">
        <v>5801</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5" customFormat="1" ht="36" customHeight="1">
      <c r="A970" s="19" t="s">
        <v>6817</v>
      </c>
      <c r="B970" s="11" t="s">
        <v>2276</v>
      </c>
      <c r="C970" s="4" t="s">
        <v>2646</v>
      </c>
      <c r="D970" s="19" t="s">
        <v>3855</v>
      </c>
      <c r="E970" s="11" t="s">
        <v>5801</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5" customFormat="1" ht="36" customHeight="1">
      <c r="A971" s="19" t="s">
        <v>6818</v>
      </c>
      <c r="B971" s="11" t="s">
        <v>2276</v>
      </c>
      <c r="C971" s="4" t="s">
        <v>2646</v>
      </c>
      <c r="D971" s="19" t="s">
        <v>3855</v>
      </c>
      <c r="E971" s="11" t="s">
        <v>5801</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5800</v>
      </c>
    </row>
    <row r="972" spans="1:20" s="205" customFormat="1" ht="36" customHeight="1">
      <c r="A972" s="19" t="s">
        <v>6819</v>
      </c>
      <c r="B972" s="11" t="s">
        <v>2276</v>
      </c>
      <c r="C972" s="4" t="s">
        <v>2646</v>
      </c>
      <c r="D972" s="19" t="s">
        <v>45</v>
      </c>
      <c r="E972" s="11" t="s">
        <v>5801</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5800</v>
      </c>
    </row>
    <row r="973" spans="1:20" s="205" customFormat="1" ht="36" customHeight="1">
      <c r="A973" s="19" t="s">
        <v>6820</v>
      </c>
      <c r="B973" s="11" t="s">
        <v>2276</v>
      </c>
      <c r="C973" s="4" t="s">
        <v>2646</v>
      </c>
      <c r="D973" s="19" t="s">
        <v>45</v>
      </c>
      <c r="E973" s="11" t="s">
        <v>5801</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5800</v>
      </c>
    </row>
    <row r="974" spans="1:20" s="205" customFormat="1" ht="36" customHeight="1">
      <c r="A974" s="19" t="s">
        <v>6821</v>
      </c>
      <c r="B974" s="11" t="s">
        <v>2276</v>
      </c>
      <c r="C974" s="4" t="s">
        <v>2646</v>
      </c>
      <c r="D974" s="11" t="s">
        <v>5801</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5" customFormat="1" ht="36" customHeight="1">
      <c r="A975" s="19" t="s">
        <v>6822</v>
      </c>
      <c r="B975" s="11" t="s">
        <v>2276</v>
      </c>
      <c r="C975" s="4" t="s">
        <v>2646</v>
      </c>
      <c r="D975" s="19" t="s">
        <v>2650</v>
      </c>
      <c r="E975" s="11" t="s">
        <v>5801</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6869</v>
      </c>
    </row>
    <row r="976" spans="1:20" s="205" customFormat="1" ht="36" customHeight="1">
      <c r="A976" s="19" t="s">
        <v>6823</v>
      </c>
      <c r="B976" s="11" t="s">
        <v>2276</v>
      </c>
      <c r="C976" s="4" t="s">
        <v>2646</v>
      </c>
      <c r="D976" s="19" t="s">
        <v>45</v>
      </c>
      <c r="E976" s="11" t="s">
        <v>5801</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5" customFormat="1" ht="36" customHeight="1">
      <c r="A977" s="19" t="s">
        <v>6824</v>
      </c>
      <c r="B977" s="11" t="s">
        <v>2276</v>
      </c>
      <c r="C977" s="4" t="s">
        <v>2646</v>
      </c>
      <c r="D977" s="19" t="s">
        <v>45</v>
      </c>
      <c r="E977" s="11" t="s">
        <v>5801</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5" customFormat="1" ht="36" customHeight="1">
      <c r="A978" s="19" t="s">
        <v>6825</v>
      </c>
      <c r="B978" s="11" t="s">
        <v>2276</v>
      </c>
      <c r="C978" s="4" t="s">
        <v>2646</v>
      </c>
      <c r="D978" s="11" t="s">
        <v>5801</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5" customFormat="1" ht="36" customHeight="1">
      <c r="A979" s="19" t="s">
        <v>6826</v>
      </c>
      <c r="B979" s="11" t="s">
        <v>2276</v>
      </c>
      <c r="C979" s="4" t="s">
        <v>2646</v>
      </c>
      <c r="D979" s="11" t="s">
        <v>5801</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5800</v>
      </c>
    </row>
    <row r="980" spans="1:20" s="205" customFormat="1" ht="36" customHeight="1">
      <c r="A980" s="19" t="s">
        <v>6827</v>
      </c>
      <c r="B980" s="11" t="s">
        <v>2276</v>
      </c>
      <c r="C980" s="4" t="s">
        <v>2646</v>
      </c>
      <c r="D980" s="11" t="s">
        <v>5801</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5800</v>
      </c>
    </row>
    <row r="981" spans="1:20" s="205" customFormat="1" ht="36" customHeight="1">
      <c r="A981" s="19" t="s">
        <v>6828</v>
      </c>
      <c r="B981" s="11" t="s">
        <v>2276</v>
      </c>
      <c r="C981" s="4" t="s">
        <v>2646</v>
      </c>
      <c r="D981" s="11" t="s">
        <v>5801</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5800</v>
      </c>
    </row>
    <row r="982" spans="1:20" s="205" customFormat="1" ht="36" customHeight="1">
      <c r="A982" s="19" t="s">
        <v>6829</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5" customFormat="1" ht="36" customHeight="1">
      <c r="A983" s="19" t="s">
        <v>6830</v>
      </c>
      <c r="B983" s="11" t="s">
        <v>2276</v>
      </c>
      <c r="C983" s="4" t="s">
        <v>2646</v>
      </c>
      <c r="D983" s="19" t="s">
        <v>45</v>
      </c>
      <c r="E983" s="11" t="s">
        <v>5801</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5" customFormat="1" ht="36" customHeight="1">
      <c r="A984" s="19" t="s">
        <v>6831</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5" customFormat="1" ht="36" customHeight="1">
      <c r="A985" s="19" t="s">
        <v>6832</v>
      </c>
      <c r="B985" s="11" t="s">
        <v>2276</v>
      </c>
      <c r="C985" s="4" t="s">
        <v>2646</v>
      </c>
      <c r="D985" s="19" t="s">
        <v>3855</v>
      </c>
      <c r="E985" s="11" t="s">
        <v>5801</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5" customFormat="1" ht="36" customHeight="1">
      <c r="A986" s="19" t="s">
        <v>6833</v>
      </c>
      <c r="B986" s="11" t="s">
        <v>2276</v>
      </c>
      <c r="C986" s="4" t="s">
        <v>2646</v>
      </c>
      <c r="D986" s="11" t="s">
        <v>5801</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5" customFormat="1" ht="36" customHeight="1">
      <c r="A987" s="19" t="s">
        <v>6834</v>
      </c>
      <c r="B987" s="11" t="s">
        <v>2276</v>
      </c>
      <c r="C987" s="4" t="s">
        <v>2646</v>
      </c>
      <c r="D987" s="11" t="s">
        <v>5801</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6974</v>
      </c>
    </row>
    <row r="991" spans="1:20" s="205"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6974</v>
      </c>
    </row>
    <row r="992" spans="1:20" s="205"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6974</v>
      </c>
    </row>
    <row r="993" spans="1:20" s="205" customFormat="1" ht="36" customHeight="1">
      <c r="A993" s="48" t="s">
        <v>6902</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6974</v>
      </c>
    </row>
    <row r="994" spans="1:20" s="205" customFormat="1" ht="36" customHeight="1">
      <c r="A994" s="48" t="s">
        <v>6903</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6974</v>
      </c>
    </row>
    <row r="995" spans="1:20" s="205" customFormat="1" ht="36" customHeight="1">
      <c r="A995" s="48" t="s">
        <v>6904</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6974</v>
      </c>
    </row>
    <row r="996" spans="1:20" s="205" customFormat="1" ht="36" customHeight="1">
      <c r="A996" s="48" t="s">
        <v>6929</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6974</v>
      </c>
    </row>
    <row r="997" spans="1:20" ht="37.5" customHeight="1">
      <c r="A997" s="4" t="s">
        <v>6365</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6355</v>
      </c>
    </row>
    <row r="998" spans="1:20" ht="29">
      <c r="A998" s="4" t="s">
        <v>6366</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6355</v>
      </c>
    </row>
    <row r="999" spans="1:20" ht="29">
      <c r="A999" s="4" t="s">
        <v>6367</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6355</v>
      </c>
    </row>
    <row r="1000" spans="1:20" ht="29">
      <c r="A1000" s="193" t="s">
        <v>6368</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6356</v>
      </c>
    </row>
    <row r="1001" spans="1:20" ht="29">
      <c r="A1001" s="4" t="s">
        <v>6328</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6357</v>
      </c>
    </row>
    <row r="1002" spans="1:20" ht="29">
      <c r="A1002" s="4" t="s">
        <v>6329</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6357</v>
      </c>
    </row>
    <row r="1003" spans="1:20" ht="29">
      <c r="A1003" s="4" t="s">
        <v>6330</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6357</v>
      </c>
    </row>
    <row r="1004" spans="1:20" ht="29">
      <c r="A1004" s="4" t="s">
        <v>6331</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6357</v>
      </c>
    </row>
    <row r="1005" spans="1:20" ht="29">
      <c r="A1005" s="4" t="s">
        <v>6332</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6357</v>
      </c>
    </row>
    <row r="1006" spans="1:20" ht="29">
      <c r="A1006" s="4" t="s">
        <v>6333</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6357</v>
      </c>
    </row>
    <row r="1007" spans="1:20" ht="29">
      <c r="A1007" s="4" t="s">
        <v>6334</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6357</v>
      </c>
    </row>
    <row r="1008" spans="1:20" ht="29">
      <c r="A1008" s="4" t="s">
        <v>6335</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6357</v>
      </c>
    </row>
    <row r="1009" spans="1:20" ht="29">
      <c r="A1009" s="4" t="s">
        <v>6336</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6357</v>
      </c>
    </row>
    <row r="1010" spans="1:20" ht="29">
      <c r="A1010" s="4" t="s">
        <v>6337</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6357</v>
      </c>
    </row>
    <row r="1011" spans="1:20" ht="29">
      <c r="A1011" s="4" t="s">
        <v>6338</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6357</v>
      </c>
    </row>
    <row r="1012" spans="1:20" ht="29">
      <c r="A1012" s="4" t="s">
        <v>6339</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6357</v>
      </c>
    </row>
    <row r="1013" spans="1:20" ht="58">
      <c r="A1013" s="4" t="s">
        <v>6340</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6358</v>
      </c>
    </row>
    <row r="1014" spans="1:20" ht="29">
      <c r="A1014" s="4" t="s">
        <v>6341</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6505</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6342</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6343</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6344</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6345</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8400</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6359</v>
      </c>
    </row>
    <row r="1021" spans="1:20" ht="50" customHeight="1">
      <c r="A1021" s="4" t="s">
        <v>8401</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6359</v>
      </c>
    </row>
    <row r="1022" spans="1:20" ht="57" customHeight="1">
      <c r="A1022" s="4" t="s">
        <v>6346</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6360</v>
      </c>
    </row>
    <row r="1023" spans="1:20" ht="57" customHeight="1">
      <c r="A1023" s="4" t="s">
        <v>6347</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6361</v>
      </c>
    </row>
    <row r="1024" spans="1:20" ht="57" customHeight="1">
      <c r="A1024" s="4" t="s">
        <v>6348</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6361</v>
      </c>
    </row>
    <row r="1025" spans="1:20" ht="29">
      <c r="A1025" s="4" t="s">
        <v>6349</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6362</v>
      </c>
    </row>
    <row r="1026" spans="1:20" ht="29">
      <c r="A1026" s="4" t="s">
        <v>6350</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6363</v>
      </c>
    </row>
    <row r="1027" spans="1:20" ht="29">
      <c r="A1027" s="4" t="s">
        <v>6351</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6364</v>
      </c>
    </row>
    <row r="1028" spans="1:20" ht="32" customHeight="1">
      <c r="A1028" s="4" t="s">
        <v>5439</v>
      </c>
      <c r="B1028" s="58"/>
      <c r="C1028" s="58"/>
      <c r="D1028" s="58"/>
      <c r="E1028" s="58"/>
      <c r="F1028" s="58"/>
      <c r="G1028" s="58"/>
      <c r="H1028" s="228"/>
      <c r="I1028" s="58"/>
      <c r="J1028" s="58"/>
      <c r="K1028" s="58"/>
      <c r="L1028" s="58"/>
      <c r="M1028" s="58"/>
      <c r="N1028" s="58"/>
      <c r="O1028" s="58"/>
      <c r="P1028" s="228"/>
      <c r="Q1028" s="58"/>
      <c r="R1028" s="58"/>
      <c r="S1028" s="58"/>
      <c r="T1028" s="58"/>
    </row>
    <row r="1029" spans="1:20" ht="32" customHeight="1">
      <c r="A1029" s="4" t="s">
        <v>6352</v>
      </c>
      <c r="B1029" s="4" t="s">
        <v>2276</v>
      </c>
      <c r="C1029" s="4" t="s">
        <v>12</v>
      </c>
      <c r="D1029" s="4" t="s">
        <v>397</v>
      </c>
      <c r="E1029" s="4" t="s">
        <v>2276</v>
      </c>
      <c r="F1029" s="4" t="s">
        <v>2276</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6353</v>
      </c>
      <c r="B1030" s="4" t="s">
        <v>32</v>
      </c>
      <c r="C1030" s="4" t="s">
        <v>2645</v>
      </c>
      <c r="D1030" s="4" t="s">
        <v>396</v>
      </c>
      <c r="E1030" s="11" t="s">
        <v>45</v>
      </c>
      <c r="F1030" s="4" t="s">
        <v>2276</v>
      </c>
      <c r="G1030" s="4" t="s">
        <v>2276</v>
      </c>
      <c r="H1030" s="4">
        <f>7/100</f>
        <v>7.0000000000000007E-2</v>
      </c>
      <c r="I1030" s="4">
        <v>1300</v>
      </c>
      <c r="J1030" s="4" t="s">
        <v>2276</v>
      </c>
      <c r="K1030" s="4" t="s">
        <v>2276</v>
      </c>
      <c r="L1030" s="4" t="s">
        <v>2276</v>
      </c>
      <c r="M1030" s="4" t="s">
        <v>2276</v>
      </c>
      <c r="N1030" s="4" t="s">
        <v>2276</v>
      </c>
      <c r="O1030" s="4" t="s">
        <v>2276</v>
      </c>
      <c r="P1030" s="4" t="s">
        <v>2276</v>
      </c>
      <c r="Q1030" s="4" t="s">
        <v>2276</v>
      </c>
      <c r="R1030" s="4" t="s">
        <v>2276</v>
      </c>
      <c r="S1030" s="4" t="s">
        <v>2276</v>
      </c>
      <c r="T1030" s="4" t="s">
        <v>8412</v>
      </c>
    </row>
    <row r="1031" spans="1:20" ht="32" customHeight="1">
      <c r="A1031" s="26" t="s">
        <v>6402</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6430</v>
      </c>
    </row>
    <row r="1032" spans="1:20" ht="32" customHeight="1">
      <c r="A1032" s="26" t="s">
        <v>6403</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6430</v>
      </c>
    </row>
    <row r="1033" spans="1:20" ht="32" customHeight="1">
      <c r="A1033" s="26" t="s">
        <v>6404</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6405</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6406</v>
      </c>
      <c r="B1035" s="4" t="s">
        <v>32</v>
      </c>
      <c r="C1035" s="4" t="s">
        <v>2645</v>
      </c>
      <c r="D1035" s="4" t="s">
        <v>6429</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6431</v>
      </c>
    </row>
    <row r="1036" spans="1:20" ht="32" customHeight="1">
      <c r="A1036" s="4" t="s">
        <v>6407</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6432</v>
      </c>
    </row>
    <row r="1037" spans="1:20" ht="32" customHeight="1">
      <c r="A1037" s="4" t="s">
        <v>6408</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6433</v>
      </c>
    </row>
    <row r="1038" spans="1:20" ht="32" customHeight="1">
      <c r="A1038" s="4" t="s">
        <v>6409</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6434</v>
      </c>
    </row>
    <row r="1039" spans="1:20" ht="32" customHeight="1">
      <c r="A1039" s="4" t="s">
        <v>6410</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6434</v>
      </c>
    </row>
    <row r="1040" spans="1:20" ht="32" customHeight="1">
      <c r="A1040" s="4" t="s">
        <v>6411</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6434</v>
      </c>
    </row>
    <row r="1041" spans="1:20" ht="32" customHeight="1">
      <c r="A1041" s="4" t="s">
        <v>6412</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6434</v>
      </c>
    </row>
    <row r="1042" spans="1:20" ht="32" customHeight="1">
      <c r="A1042" s="4" t="s">
        <v>6413</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6414</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6415</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6416</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6417</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6418</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6419</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6420</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6421</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6422</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6423</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6424</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6425</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6426</v>
      </c>
      <c r="B1055" s="4" t="s">
        <v>1197</v>
      </c>
      <c r="C1055" s="4" t="s">
        <v>2645</v>
      </c>
      <c r="D1055" s="4" t="s">
        <v>2649</v>
      </c>
      <c r="E1055" s="4" t="s">
        <v>137</v>
      </c>
      <c r="F1055" s="4" t="s">
        <v>3854</v>
      </c>
      <c r="G1055" s="4" t="s">
        <v>2276</v>
      </c>
      <c r="H1055" s="222">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6435</v>
      </c>
    </row>
    <row r="1056" spans="1:20" ht="32" customHeight="1">
      <c r="A1056" s="4" t="s">
        <v>6427</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6428</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6990</v>
      </c>
      <c r="B1058" s="204" t="s">
        <v>2276</v>
      </c>
      <c r="C1058" s="204" t="s">
        <v>2646</v>
      </c>
      <c r="D1058" s="204" t="s">
        <v>5801</v>
      </c>
      <c r="E1058" s="204"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4"/>
    </row>
    <row r="1059" spans="1:20" ht="29.5" customHeight="1">
      <c r="A1059" s="19" t="s">
        <v>6998</v>
      </c>
      <c r="B1059" s="204" t="s">
        <v>2276</v>
      </c>
      <c r="C1059" s="204" t="s">
        <v>12</v>
      </c>
      <c r="D1059" s="204" t="s">
        <v>45</v>
      </c>
      <c r="E1059" s="204"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7004</v>
      </c>
    </row>
    <row r="1060" spans="1:20" ht="29.5" customHeight="1">
      <c r="A1060" s="19" t="s">
        <v>7009</v>
      </c>
      <c r="B1060" s="204" t="s">
        <v>32</v>
      </c>
      <c r="C1060" s="204" t="s">
        <v>12</v>
      </c>
      <c r="D1060" s="204" t="s">
        <v>45</v>
      </c>
      <c r="E1060" s="204"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7012</v>
      </c>
    </row>
    <row r="1061" spans="1:20" ht="31" customHeight="1">
      <c r="A1061" s="19" t="s">
        <v>7019</v>
      </c>
      <c r="B1061" s="204" t="s">
        <v>2276</v>
      </c>
      <c r="C1061" s="204" t="s">
        <v>12</v>
      </c>
      <c r="D1061" s="204" t="s">
        <v>84</v>
      </c>
      <c r="E1061" s="204"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4"/>
    </row>
    <row r="1062" spans="1:20" ht="33" customHeight="1">
      <c r="A1062" s="19" t="s">
        <v>7025</v>
      </c>
      <c r="B1062" s="204" t="s">
        <v>32</v>
      </c>
      <c r="C1062" s="204" t="s">
        <v>2645</v>
      </c>
      <c r="D1062" s="204" t="s">
        <v>137</v>
      </c>
      <c r="E1062" s="204"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4"/>
    </row>
    <row r="1063" spans="1:20" ht="29.5" customHeight="1">
      <c r="A1063" s="19" t="s">
        <v>7035</v>
      </c>
      <c r="B1063" s="204" t="s">
        <v>32</v>
      </c>
      <c r="C1063" s="204" t="s">
        <v>12</v>
      </c>
      <c r="D1063" s="204" t="s">
        <v>45</v>
      </c>
      <c r="E1063" s="204"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6.5" customHeight="1">
      <c r="A1064" s="19" t="s">
        <v>7041</v>
      </c>
      <c r="B1064" s="204" t="s">
        <v>2276</v>
      </c>
      <c r="C1064" s="204" t="s">
        <v>12</v>
      </c>
      <c r="D1064" s="204"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4"/>
    </row>
    <row r="1065" spans="1:20" ht="27.5" customHeight="1">
      <c r="A1065" s="19" t="s">
        <v>7048</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4" t="s">
        <v>7061</v>
      </c>
      <c r="B1066" s="204" t="s">
        <v>32</v>
      </c>
      <c r="C1066" s="204" t="s">
        <v>12</v>
      </c>
      <c r="D1066" s="204" t="s">
        <v>84</v>
      </c>
      <c r="E1066" s="204" t="s">
        <v>137</v>
      </c>
      <c r="F1066" s="204" t="s">
        <v>45</v>
      </c>
      <c r="G1066" s="204"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28.5" customHeight="1">
      <c r="A1067" s="19" t="s">
        <v>7062</v>
      </c>
      <c r="B1067" s="204" t="s">
        <v>32</v>
      </c>
      <c r="C1067" s="204" t="s">
        <v>12</v>
      </c>
      <c r="D1067" s="204" t="s">
        <v>84</v>
      </c>
      <c r="E1067" s="204" t="s">
        <v>137</v>
      </c>
      <c r="F1067" s="204" t="s">
        <v>45</v>
      </c>
      <c r="G1067" s="204"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8.5" customHeight="1">
      <c r="A1068" s="19" t="s">
        <v>7063</v>
      </c>
      <c r="B1068" s="204" t="s">
        <v>32</v>
      </c>
      <c r="C1068" s="204" t="s">
        <v>12</v>
      </c>
      <c r="D1068" s="204" t="s">
        <v>84</v>
      </c>
      <c r="E1068" s="204" t="s">
        <v>137</v>
      </c>
      <c r="F1068" s="204" t="s">
        <v>45</v>
      </c>
      <c r="G1068" s="204"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9" customHeight="1">
      <c r="A1069" s="19" t="s">
        <v>7081</v>
      </c>
      <c r="B1069" s="204" t="s">
        <v>2276</v>
      </c>
      <c r="C1069" s="204" t="s">
        <v>2646</v>
      </c>
      <c r="D1069" s="204" t="s">
        <v>5801</v>
      </c>
      <c r="E1069" s="204" t="s">
        <v>45</v>
      </c>
      <c r="F1069" s="204"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3.5" customHeight="1">
      <c r="A1070" s="19" t="s">
        <v>7096</v>
      </c>
      <c r="B1070" s="204" t="s">
        <v>2276</v>
      </c>
      <c r="C1070" s="204" t="s">
        <v>12</v>
      </c>
      <c r="D1070" s="11" t="s">
        <v>45</v>
      </c>
      <c r="E1070" s="204" t="s">
        <v>5801</v>
      </c>
      <c r="F1070" s="4" t="s">
        <v>2276</v>
      </c>
      <c r="G1070" s="4" t="s">
        <v>2276</v>
      </c>
      <c r="H1070" s="4" t="s">
        <v>2276</v>
      </c>
      <c r="I1070" s="4" t="s">
        <v>2276</v>
      </c>
      <c r="J1070" s="204" t="s">
        <v>2276</v>
      </c>
      <c r="K1070" s="204" t="s">
        <v>2276</v>
      </c>
      <c r="L1070" s="204" t="s">
        <v>2276</v>
      </c>
      <c r="M1070" s="204" t="s">
        <v>2276</v>
      </c>
      <c r="N1070" s="204" t="s">
        <v>2276</v>
      </c>
      <c r="O1070" s="204" t="s">
        <v>2276</v>
      </c>
      <c r="P1070" s="204" t="s">
        <v>2276</v>
      </c>
      <c r="Q1070" s="204" t="s">
        <v>2276</v>
      </c>
      <c r="R1070" s="21">
        <v>60</v>
      </c>
      <c r="S1070" s="204" t="s">
        <v>2276</v>
      </c>
      <c r="T1070" s="204"/>
    </row>
    <row r="1071" spans="1:20" ht="23.5" customHeight="1">
      <c r="A1071" s="19" t="s">
        <v>7116</v>
      </c>
      <c r="B1071" s="204" t="s">
        <v>2276</v>
      </c>
      <c r="C1071" s="204" t="s">
        <v>12</v>
      </c>
      <c r="D1071" s="11" t="s">
        <v>45</v>
      </c>
      <c r="E1071" s="204" t="s">
        <v>5801</v>
      </c>
      <c r="F1071" s="4" t="s">
        <v>2276</v>
      </c>
      <c r="G1071" s="4" t="s">
        <v>2276</v>
      </c>
      <c r="H1071" s="4" t="s">
        <v>2276</v>
      </c>
      <c r="I1071" s="4" t="s">
        <v>2276</v>
      </c>
      <c r="J1071" s="204" t="s">
        <v>2276</v>
      </c>
      <c r="K1071" s="204" t="s">
        <v>2276</v>
      </c>
      <c r="L1071" s="204" t="s">
        <v>2276</v>
      </c>
      <c r="M1071" s="204" t="s">
        <v>2276</v>
      </c>
      <c r="N1071" s="204" t="s">
        <v>2276</v>
      </c>
      <c r="O1071" s="204" t="s">
        <v>2276</v>
      </c>
      <c r="P1071" s="204" t="s">
        <v>2276</v>
      </c>
      <c r="Q1071" s="204" t="s">
        <v>2276</v>
      </c>
      <c r="R1071" s="204" t="s">
        <v>2276</v>
      </c>
      <c r="S1071" s="204" t="s">
        <v>2276</v>
      </c>
      <c r="T1071" s="204"/>
    </row>
    <row r="1072" spans="1:20" ht="23.5" customHeight="1">
      <c r="A1072" s="19" t="s">
        <v>7117</v>
      </c>
      <c r="B1072" s="204" t="s">
        <v>2276</v>
      </c>
      <c r="C1072" s="204" t="s">
        <v>12</v>
      </c>
      <c r="D1072" s="11" t="s">
        <v>45</v>
      </c>
      <c r="E1072" s="204" t="s">
        <v>5801</v>
      </c>
      <c r="F1072" s="4" t="s">
        <v>2276</v>
      </c>
      <c r="G1072" s="4" t="s">
        <v>2276</v>
      </c>
      <c r="H1072" s="4" t="s">
        <v>2276</v>
      </c>
      <c r="I1072" s="4" t="s">
        <v>2276</v>
      </c>
      <c r="J1072" s="204" t="s">
        <v>2276</v>
      </c>
      <c r="K1072" s="204" t="s">
        <v>2276</v>
      </c>
      <c r="L1072" s="204" t="s">
        <v>2276</v>
      </c>
      <c r="M1072" s="204" t="s">
        <v>2276</v>
      </c>
      <c r="N1072" s="204" t="s">
        <v>2276</v>
      </c>
      <c r="O1072" s="204" t="s">
        <v>2276</v>
      </c>
      <c r="P1072" s="204" t="s">
        <v>2276</v>
      </c>
      <c r="Q1072" s="204" t="s">
        <v>2276</v>
      </c>
      <c r="R1072" s="204" t="s">
        <v>2276</v>
      </c>
      <c r="S1072" s="204" t="s">
        <v>2276</v>
      </c>
      <c r="T1072" s="204"/>
    </row>
    <row r="1073" spans="1:20" ht="23.5" customHeight="1">
      <c r="A1073" s="19" t="s">
        <v>7118</v>
      </c>
      <c r="B1073" s="204" t="s">
        <v>2276</v>
      </c>
      <c r="C1073" s="204" t="s">
        <v>12</v>
      </c>
      <c r="D1073" s="11" t="s">
        <v>45</v>
      </c>
      <c r="E1073" s="204" t="s">
        <v>5801</v>
      </c>
      <c r="F1073" s="4" t="s">
        <v>2276</v>
      </c>
      <c r="G1073" s="4" t="s">
        <v>2276</v>
      </c>
      <c r="H1073" s="4" t="s">
        <v>2276</v>
      </c>
      <c r="I1073" s="4" t="s">
        <v>2276</v>
      </c>
      <c r="J1073" s="204" t="s">
        <v>2276</v>
      </c>
      <c r="K1073" s="204" t="s">
        <v>2276</v>
      </c>
      <c r="L1073" s="204" t="s">
        <v>2276</v>
      </c>
      <c r="M1073" s="204" t="s">
        <v>2276</v>
      </c>
      <c r="N1073" s="204" t="s">
        <v>2276</v>
      </c>
      <c r="O1073" s="204" t="s">
        <v>2276</v>
      </c>
      <c r="P1073" s="204" t="s">
        <v>2276</v>
      </c>
      <c r="Q1073" s="204" t="s">
        <v>2276</v>
      </c>
      <c r="R1073" s="204" t="s">
        <v>2276</v>
      </c>
      <c r="S1073" s="204" t="s">
        <v>2276</v>
      </c>
      <c r="T1073" s="204"/>
    </row>
    <row r="1074" spans="1:20" ht="23.5" customHeight="1">
      <c r="A1074" s="19" t="s">
        <v>7119</v>
      </c>
      <c r="B1074" s="204" t="s">
        <v>69</v>
      </c>
      <c r="C1074" s="204" t="s">
        <v>12</v>
      </c>
      <c r="D1074" s="11" t="s">
        <v>45</v>
      </c>
      <c r="E1074" s="204" t="s">
        <v>2276</v>
      </c>
      <c r="F1074" s="4" t="s">
        <v>2276</v>
      </c>
      <c r="G1074" s="4" t="s">
        <v>2276</v>
      </c>
      <c r="H1074" s="4" t="s">
        <v>2276</v>
      </c>
      <c r="I1074" s="4" t="s">
        <v>2276</v>
      </c>
      <c r="J1074" s="204" t="s">
        <v>2276</v>
      </c>
      <c r="K1074" s="204" t="s">
        <v>2276</v>
      </c>
      <c r="L1074" s="204" t="s">
        <v>2276</v>
      </c>
      <c r="M1074" s="204" t="s">
        <v>2276</v>
      </c>
      <c r="N1074" s="204" t="s">
        <v>2276</v>
      </c>
      <c r="O1074" s="204" t="s">
        <v>2276</v>
      </c>
      <c r="P1074" s="204" t="s">
        <v>2276</v>
      </c>
      <c r="Q1074" s="204" t="s">
        <v>2276</v>
      </c>
      <c r="R1074" s="204" t="s">
        <v>2276</v>
      </c>
      <c r="S1074" s="204" t="s">
        <v>2276</v>
      </c>
      <c r="T1074" s="204"/>
    </row>
    <row r="1075" spans="1:20" ht="23.5" customHeight="1">
      <c r="A1075" s="19" t="s">
        <v>7120</v>
      </c>
      <c r="B1075" s="204" t="s">
        <v>2276</v>
      </c>
      <c r="C1075" s="204" t="s">
        <v>12</v>
      </c>
      <c r="D1075" s="11" t="s">
        <v>45</v>
      </c>
      <c r="E1075" s="204" t="s">
        <v>2276</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04" t="s">
        <v>2276</v>
      </c>
      <c r="S1075" s="204" t="s">
        <v>2276</v>
      </c>
      <c r="T1075" s="204"/>
    </row>
    <row r="1076" spans="1:20" ht="32.5" customHeight="1">
      <c r="A1076" s="19" t="s">
        <v>7121</v>
      </c>
      <c r="B1076" s="204" t="s">
        <v>2276</v>
      </c>
      <c r="C1076" s="204" t="s">
        <v>12</v>
      </c>
      <c r="D1076" s="11" t="s">
        <v>45</v>
      </c>
      <c r="E1076" s="204" t="s">
        <v>5801</v>
      </c>
      <c r="F1076" s="4" t="s">
        <v>397</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t="s">
        <v>7200</v>
      </c>
    </row>
    <row r="1077" spans="1:20" ht="32.5" customHeight="1">
      <c r="A1077" s="19" t="s">
        <v>7122</v>
      </c>
      <c r="B1077" s="204" t="s">
        <v>2276</v>
      </c>
      <c r="C1077" s="204" t="s">
        <v>12</v>
      </c>
      <c r="D1077" s="11" t="s">
        <v>45</v>
      </c>
      <c r="E1077" s="204" t="s">
        <v>5801</v>
      </c>
      <c r="F1077" s="4" t="s">
        <v>397</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t="s">
        <v>7200</v>
      </c>
    </row>
    <row r="1078" spans="1:20" ht="23.5" customHeight="1">
      <c r="A1078" s="19" t="s">
        <v>7123</v>
      </c>
      <c r="B1078" s="204" t="s">
        <v>2276</v>
      </c>
      <c r="C1078" s="204" t="s">
        <v>12</v>
      </c>
      <c r="D1078" s="11" t="s">
        <v>45</v>
      </c>
      <c r="E1078" s="204" t="s">
        <v>5801</v>
      </c>
      <c r="F1078" s="4" t="s">
        <v>2276</v>
      </c>
      <c r="G1078" s="4" t="s">
        <v>2276</v>
      </c>
      <c r="H1078" s="21">
        <f>300000/1500000</f>
        <v>0.2</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9" customHeight="1">
      <c r="A1079" s="19" t="s">
        <v>7124</v>
      </c>
      <c r="B1079" s="204" t="s">
        <v>2276</v>
      </c>
      <c r="C1079" s="204" t="s">
        <v>12</v>
      </c>
      <c r="D1079" s="11" t="s">
        <v>45</v>
      </c>
      <c r="E1079" s="204" t="s">
        <v>5801</v>
      </c>
      <c r="F1079" s="4" t="s">
        <v>3855</v>
      </c>
      <c r="G1079" s="4" t="s">
        <v>2276</v>
      </c>
      <c r="H1079" s="21">
        <f>16000/'Record info'!K1079/100</f>
        <v>0.08</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7125</v>
      </c>
      <c r="B1080" s="204" t="s">
        <v>70</v>
      </c>
      <c r="C1080" s="204" t="s">
        <v>2646</v>
      </c>
      <c r="D1080" s="11" t="s">
        <v>45</v>
      </c>
      <c r="E1080" s="204" t="s">
        <v>5801</v>
      </c>
      <c r="F1080" s="204" t="s">
        <v>2652</v>
      </c>
      <c r="G1080" s="204" t="s">
        <v>137</v>
      </c>
      <c r="H1080" s="21">
        <v>0.33</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t="s">
        <v>7201</v>
      </c>
    </row>
    <row r="1081" spans="1:20" ht="23.5" customHeight="1">
      <c r="A1081" s="19" t="s">
        <v>7126</v>
      </c>
      <c r="B1081" s="204" t="s">
        <v>32</v>
      </c>
      <c r="C1081" s="204" t="s">
        <v>12</v>
      </c>
      <c r="D1081" s="11" t="s">
        <v>45</v>
      </c>
      <c r="E1081" s="204" t="s">
        <v>5801</v>
      </c>
      <c r="F1081" s="4" t="s">
        <v>2276</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row>
    <row r="1082" spans="1:20" ht="31.5" customHeight="1">
      <c r="A1082" s="19" t="s">
        <v>7127</v>
      </c>
      <c r="B1082" s="204" t="s">
        <v>70</v>
      </c>
      <c r="C1082" s="204" t="s">
        <v>12</v>
      </c>
      <c r="D1082" s="11" t="s">
        <v>45</v>
      </c>
      <c r="E1082" s="4" t="s">
        <v>3855</v>
      </c>
      <c r="F1082" s="4" t="s">
        <v>2276</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row>
    <row r="1083" spans="1:20" ht="36.5" customHeight="1">
      <c r="A1083" s="19" t="s">
        <v>7128</v>
      </c>
      <c r="B1083" s="204" t="s">
        <v>32</v>
      </c>
      <c r="C1083" s="204" t="s">
        <v>12</v>
      </c>
      <c r="D1083" s="11" t="s">
        <v>45</v>
      </c>
      <c r="E1083" s="4" t="s">
        <v>2276</v>
      </c>
      <c r="F1083" s="4" t="s">
        <v>2276</v>
      </c>
      <c r="G1083" s="4" t="s">
        <v>2276</v>
      </c>
      <c r="H1083" s="4" t="s">
        <v>2276</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33" customHeight="1">
      <c r="A1084" s="19" t="s">
        <v>7129</v>
      </c>
      <c r="B1084" s="204" t="s">
        <v>32</v>
      </c>
      <c r="C1084" s="204" t="s">
        <v>12</v>
      </c>
      <c r="D1084" s="11" t="s">
        <v>45</v>
      </c>
      <c r="E1084" s="4" t="s">
        <v>3855</v>
      </c>
      <c r="F1084" s="204" t="s">
        <v>5801</v>
      </c>
      <c r="G1084" s="204" t="s">
        <v>84</v>
      </c>
      <c r="H1084" s="4" t="s">
        <v>2276</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35" customHeight="1">
      <c r="A1085" s="19" t="s">
        <v>7130</v>
      </c>
      <c r="B1085" s="204" t="s">
        <v>32</v>
      </c>
      <c r="C1085" s="204" t="s">
        <v>12</v>
      </c>
      <c r="D1085" s="11" t="s">
        <v>45</v>
      </c>
      <c r="E1085" s="4" t="s">
        <v>3855</v>
      </c>
      <c r="F1085" s="204" t="s">
        <v>5801</v>
      </c>
      <c r="G1085" s="204" t="s">
        <v>84</v>
      </c>
      <c r="H1085" s="4" t="s">
        <v>2276</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row>
    <row r="1086" spans="1:20" ht="43" customHeight="1">
      <c r="A1086" s="19" t="s">
        <v>7131</v>
      </c>
      <c r="B1086" s="204" t="s">
        <v>70</v>
      </c>
      <c r="C1086" s="204" t="s">
        <v>12</v>
      </c>
      <c r="D1086" s="11" t="s">
        <v>45</v>
      </c>
      <c r="E1086" s="4" t="s">
        <v>3855</v>
      </c>
      <c r="F1086" s="204" t="s">
        <v>5801</v>
      </c>
      <c r="G1086" s="204" t="s">
        <v>137</v>
      </c>
      <c r="H1086" s="21">
        <v>0.45</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2" customHeight="1">
      <c r="A1087" s="19" t="s">
        <v>7132</v>
      </c>
      <c r="B1087" s="204" t="s">
        <v>2276</v>
      </c>
      <c r="C1087" s="204" t="s">
        <v>12</v>
      </c>
      <c r="D1087" s="11" t="s">
        <v>45</v>
      </c>
      <c r="E1087" s="204" t="s">
        <v>5801</v>
      </c>
      <c r="F1087" s="204" t="s">
        <v>137</v>
      </c>
      <c r="G1087" s="4" t="s">
        <v>2276</v>
      </c>
      <c r="H1087" s="21">
        <v>0.35</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26.5" customHeight="1">
      <c r="A1088" s="19" t="s">
        <v>7133</v>
      </c>
      <c r="B1088" s="204" t="s">
        <v>32</v>
      </c>
      <c r="C1088" s="204" t="s">
        <v>12</v>
      </c>
      <c r="D1088" s="11" t="s">
        <v>45</v>
      </c>
      <c r="E1088" s="204" t="s">
        <v>137</v>
      </c>
      <c r="F1088" s="204" t="s">
        <v>2647</v>
      </c>
      <c r="G1088" s="4" t="s">
        <v>2276</v>
      </c>
      <c r="H1088" s="21">
        <v>0.61</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23.5" customHeight="1">
      <c r="A1089" s="19" t="s">
        <v>7134</v>
      </c>
      <c r="B1089" s="204" t="s">
        <v>32</v>
      </c>
      <c r="C1089" s="204" t="s">
        <v>12</v>
      </c>
      <c r="D1089" s="11" t="s">
        <v>45</v>
      </c>
      <c r="E1089" s="204" t="s">
        <v>5801</v>
      </c>
      <c r="F1089" s="204"/>
      <c r="G1089" s="4" t="s">
        <v>2276</v>
      </c>
      <c r="H1089" s="21">
        <v>0.3</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3" customHeight="1">
      <c r="A1090" s="19" t="s">
        <v>7135</v>
      </c>
      <c r="B1090" s="204" t="s">
        <v>32</v>
      </c>
      <c r="C1090" s="204" t="s">
        <v>12</v>
      </c>
      <c r="D1090" s="11" t="s">
        <v>45</v>
      </c>
      <c r="E1090" s="204" t="s">
        <v>137</v>
      </c>
      <c r="F1090" s="4" t="s">
        <v>3855</v>
      </c>
      <c r="G1090" s="204" t="s">
        <v>5801</v>
      </c>
      <c r="H1090" s="21">
        <v>0.3</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23.5" customHeight="1">
      <c r="A1091" s="19" t="s">
        <v>7136</v>
      </c>
      <c r="B1091" s="204" t="s">
        <v>32</v>
      </c>
      <c r="C1091" s="204" t="s">
        <v>2645</v>
      </c>
      <c r="D1091" s="11" t="s">
        <v>45</v>
      </c>
      <c r="E1091" s="204" t="s">
        <v>137</v>
      </c>
      <c r="F1091" s="204" t="s">
        <v>84</v>
      </c>
      <c r="G1091" s="204" t="s">
        <v>2647</v>
      </c>
      <c r="H1091" s="21">
        <v>0.3</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23.5" customHeight="1">
      <c r="A1092" s="19" t="s">
        <v>7137</v>
      </c>
      <c r="B1092" s="204" t="s">
        <v>32</v>
      </c>
      <c r="C1092" s="204" t="s">
        <v>12</v>
      </c>
      <c r="D1092" s="11" t="s">
        <v>45</v>
      </c>
      <c r="E1092" s="204" t="s">
        <v>5801</v>
      </c>
      <c r="F1092" s="204" t="s">
        <v>2653</v>
      </c>
      <c r="G1092" s="204" t="s">
        <v>137</v>
      </c>
      <c r="H1092" s="21">
        <v>0.5</v>
      </c>
      <c r="I1092" s="4" t="s">
        <v>2276</v>
      </c>
      <c r="J1092" s="204" t="s">
        <v>2276</v>
      </c>
      <c r="K1092" s="204" t="s">
        <v>2276</v>
      </c>
      <c r="L1092" s="204" t="s">
        <v>2276</v>
      </c>
      <c r="M1092" s="204" t="s">
        <v>2276</v>
      </c>
      <c r="N1092" s="204" t="s">
        <v>2276</v>
      </c>
      <c r="O1092" s="21">
        <v>10</v>
      </c>
      <c r="P1092" s="204" t="s">
        <v>2276</v>
      </c>
      <c r="Q1092" s="204" t="s">
        <v>2276</v>
      </c>
      <c r="R1092" s="204" t="s">
        <v>2276</v>
      </c>
      <c r="S1092" s="204" t="s">
        <v>2276</v>
      </c>
      <c r="T1092" s="204"/>
    </row>
    <row r="1093" spans="1:20" ht="32" customHeight="1">
      <c r="A1093" s="19" t="s">
        <v>7138</v>
      </c>
      <c r="B1093" s="204" t="s">
        <v>32</v>
      </c>
      <c r="C1093" s="204" t="s">
        <v>12</v>
      </c>
      <c r="D1093" s="11" t="s">
        <v>45</v>
      </c>
      <c r="E1093" s="4" t="s">
        <v>396</v>
      </c>
      <c r="F1093" s="204" t="s">
        <v>2653</v>
      </c>
      <c r="G1093" s="204" t="s">
        <v>137</v>
      </c>
      <c r="H1093" s="4" t="s">
        <v>2276</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8" customHeight="1">
      <c r="A1094" s="19" t="s">
        <v>7139</v>
      </c>
      <c r="B1094" s="204" t="s">
        <v>32</v>
      </c>
      <c r="C1094" s="204" t="s">
        <v>12</v>
      </c>
      <c r="D1094" s="11" t="s">
        <v>45</v>
      </c>
      <c r="E1094" s="204" t="s">
        <v>137</v>
      </c>
      <c r="F1094" s="204" t="s">
        <v>2653</v>
      </c>
      <c r="G1094" s="204" t="s">
        <v>5801</v>
      </c>
      <c r="H1094" s="4" t="s">
        <v>2276</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23.5" customHeight="1">
      <c r="A1095" s="19" t="s">
        <v>7140</v>
      </c>
      <c r="B1095" s="204" t="s">
        <v>32</v>
      </c>
      <c r="C1095" s="204" t="s">
        <v>12</v>
      </c>
      <c r="D1095" s="11" t="s">
        <v>45</v>
      </c>
      <c r="E1095" s="204" t="s">
        <v>137</v>
      </c>
      <c r="F1095" s="4" t="s">
        <v>2276</v>
      </c>
      <c r="G1095" s="4" t="s">
        <v>2276</v>
      </c>
      <c r="H1095" s="4" t="s">
        <v>2276</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7141</v>
      </c>
      <c r="B1096" s="204" t="s">
        <v>32</v>
      </c>
      <c r="C1096" s="204" t="s">
        <v>12</v>
      </c>
      <c r="D1096" s="11" t="s">
        <v>45</v>
      </c>
      <c r="E1096" s="4" t="s">
        <v>2276</v>
      </c>
      <c r="F1096" s="4" t="s">
        <v>2276</v>
      </c>
      <c r="G1096" s="4" t="s">
        <v>2276</v>
      </c>
      <c r="H1096" s="4" t="s">
        <v>2276</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7142</v>
      </c>
      <c r="B1097" s="204" t="s">
        <v>32</v>
      </c>
      <c r="C1097" s="204" t="s">
        <v>12</v>
      </c>
      <c r="D1097" s="11" t="s">
        <v>45</v>
      </c>
      <c r="E1097" s="4" t="s">
        <v>2276</v>
      </c>
      <c r="F1097" s="4" t="s">
        <v>2276</v>
      </c>
      <c r="G1097" s="4" t="s">
        <v>2276</v>
      </c>
      <c r="H1097" s="4" t="s">
        <v>2276</v>
      </c>
      <c r="I1097" s="4" t="s">
        <v>2276</v>
      </c>
      <c r="J1097" s="204" t="s">
        <v>2276</v>
      </c>
      <c r="K1097" s="204" t="s">
        <v>2276</v>
      </c>
      <c r="L1097" s="204" t="s">
        <v>2276</v>
      </c>
      <c r="M1097" s="204" t="s">
        <v>2276</v>
      </c>
      <c r="N1097" s="204" t="s">
        <v>2276</v>
      </c>
      <c r="O1097" s="204" t="s">
        <v>2276</v>
      </c>
      <c r="P1097" s="204" t="s">
        <v>2276</v>
      </c>
      <c r="Q1097" s="204" t="s">
        <v>2276</v>
      </c>
      <c r="R1097" s="204" t="s">
        <v>2276</v>
      </c>
      <c r="S1097" s="204" t="s">
        <v>2276</v>
      </c>
      <c r="T1097" s="204"/>
    </row>
    <row r="1098" spans="1:20" ht="23.5" customHeight="1">
      <c r="A1098" s="19" t="s">
        <v>7143</v>
      </c>
      <c r="B1098" s="204" t="s">
        <v>32</v>
      </c>
      <c r="C1098" s="204" t="s">
        <v>12</v>
      </c>
      <c r="D1098" s="11" t="s">
        <v>45</v>
      </c>
      <c r="E1098" s="4" t="s">
        <v>2276</v>
      </c>
      <c r="F1098" s="4" t="s">
        <v>2276</v>
      </c>
      <c r="G1098" s="4" t="s">
        <v>2276</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3.5" customHeight="1">
      <c r="A1099" s="19" t="s">
        <v>7144</v>
      </c>
      <c r="B1099" s="204" t="s">
        <v>32</v>
      </c>
      <c r="C1099" s="204" t="s">
        <v>12</v>
      </c>
      <c r="D1099" s="11" t="s">
        <v>45</v>
      </c>
      <c r="E1099" s="4" t="s">
        <v>2276</v>
      </c>
      <c r="F1099" s="4" t="s">
        <v>2276</v>
      </c>
      <c r="G1099" s="4" t="s">
        <v>2276</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7" customHeight="1">
      <c r="A1100" s="19" t="s">
        <v>7165</v>
      </c>
      <c r="B1100" s="204" t="s">
        <v>32</v>
      </c>
      <c r="C1100" s="204" t="s">
        <v>12</v>
      </c>
      <c r="D1100" s="11" t="s">
        <v>45</v>
      </c>
      <c r="E1100" s="204" t="s">
        <v>137</v>
      </c>
      <c r="F1100" s="204" t="s">
        <v>5005</v>
      </c>
      <c r="G1100" s="4" t="s">
        <v>2276</v>
      </c>
      <c r="H1100" s="21">
        <v>0.26</v>
      </c>
      <c r="I1100" s="4" t="s">
        <v>2276</v>
      </c>
      <c r="J1100" s="204" t="s">
        <v>2276</v>
      </c>
      <c r="K1100" s="204" t="s">
        <v>2276</v>
      </c>
      <c r="L1100" s="204" t="s">
        <v>2276</v>
      </c>
      <c r="M1100" s="204" t="s">
        <v>2276</v>
      </c>
      <c r="N1100" s="204" t="s">
        <v>2276</v>
      </c>
      <c r="O1100" s="21">
        <v>21</v>
      </c>
      <c r="P1100" s="204" t="s">
        <v>2276</v>
      </c>
      <c r="Q1100" s="204" t="s">
        <v>2276</v>
      </c>
      <c r="R1100" s="204" t="s">
        <v>2276</v>
      </c>
      <c r="S1100" s="204" t="s">
        <v>2276</v>
      </c>
      <c r="T1100" s="204" t="s">
        <v>7221</v>
      </c>
    </row>
    <row r="1101" spans="1:20" ht="28" customHeight="1">
      <c r="A1101" s="19" t="s">
        <v>7166</v>
      </c>
      <c r="B1101" s="204" t="s">
        <v>32</v>
      </c>
      <c r="C1101" s="204" t="s">
        <v>12</v>
      </c>
      <c r="D1101" s="11" t="s">
        <v>45</v>
      </c>
      <c r="E1101" s="204" t="s">
        <v>137</v>
      </c>
      <c r="F1101" s="4" t="s">
        <v>2276</v>
      </c>
      <c r="G1101" s="4" t="s">
        <v>2276</v>
      </c>
      <c r="H1101" s="21">
        <v>0.35</v>
      </c>
      <c r="I1101" s="4" t="s">
        <v>2276</v>
      </c>
      <c r="J1101" s="204" t="s">
        <v>2276</v>
      </c>
      <c r="K1101" s="204" t="s">
        <v>2276</v>
      </c>
      <c r="L1101" s="204" t="s">
        <v>2276</v>
      </c>
      <c r="M1101" s="204" t="s">
        <v>2276</v>
      </c>
      <c r="N1101" s="204" t="s">
        <v>2276</v>
      </c>
      <c r="O1101" s="21">
        <v>44</v>
      </c>
      <c r="P1101" s="204" t="s">
        <v>2276</v>
      </c>
      <c r="Q1101" s="204" t="s">
        <v>2276</v>
      </c>
      <c r="R1101" s="204" t="s">
        <v>2276</v>
      </c>
      <c r="S1101" s="204" t="s">
        <v>2276</v>
      </c>
      <c r="T1101" s="204" t="s">
        <v>7221</v>
      </c>
    </row>
    <row r="1102" spans="1:20" ht="29" customHeight="1">
      <c r="A1102" s="19" t="s">
        <v>7167</v>
      </c>
      <c r="B1102" s="204" t="s">
        <v>32</v>
      </c>
      <c r="C1102" s="204" t="s">
        <v>12</v>
      </c>
      <c r="D1102" s="11" t="s">
        <v>45</v>
      </c>
      <c r="E1102" s="4" t="s">
        <v>2276</v>
      </c>
      <c r="F1102" s="4" t="s">
        <v>2276</v>
      </c>
      <c r="G1102" s="4" t="s">
        <v>2276</v>
      </c>
      <c r="H1102" s="21">
        <v>0.75</v>
      </c>
      <c r="I1102" s="4" t="s">
        <v>2276</v>
      </c>
      <c r="J1102" s="204" t="s">
        <v>2276</v>
      </c>
      <c r="K1102" s="204" t="s">
        <v>2276</v>
      </c>
      <c r="L1102" s="204" t="s">
        <v>2276</v>
      </c>
      <c r="M1102" s="204" t="s">
        <v>2276</v>
      </c>
      <c r="N1102" s="204" t="s">
        <v>2276</v>
      </c>
      <c r="O1102" s="21">
        <v>35</v>
      </c>
      <c r="P1102" s="204" t="s">
        <v>2276</v>
      </c>
      <c r="Q1102" s="204" t="s">
        <v>2276</v>
      </c>
      <c r="R1102" s="204" t="s">
        <v>2276</v>
      </c>
      <c r="S1102" s="204" t="s">
        <v>2276</v>
      </c>
      <c r="T1102" s="204" t="s">
        <v>7221</v>
      </c>
    </row>
    <row r="1103" spans="1:20" ht="32.5" customHeight="1">
      <c r="A1103" s="19" t="s">
        <v>7168</v>
      </c>
      <c r="B1103" s="204" t="s">
        <v>2276</v>
      </c>
      <c r="C1103" s="204" t="s">
        <v>12</v>
      </c>
      <c r="D1103" s="11" t="s">
        <v>45</v>
      </c>
      <c r="E1103" s="204" t="s">
        <v>137</v>
      </c>
      <c r="F1103" s="4" t="s">
        <v>3855</v>
      </c>
      <c r="G1103" s="4" t="s">
        <v>2276</v>
      </c>
      <c r="H1103" s="21">
        <v>0.89</v>
      </c>
      <c r="I1103" s="4" t="s">
        <v>2276</v>
      </c>
      <c r="J1103" s="204" t="s">
        <v>2276</v>
      </c>
      <c r="K1103" s="204" t="s">
        <v>2276</v>
      </c>
      <c r="L1103" s="204" t="s">
        <v>2276</v>
      </c>
      <c r="M1103" s="204" t="s">
        <v>2276</v>
      </c>
      <c r="N1103" s="204" t="s">
        <v>2276</v>
      </c>
      <c r="O1103" s="21">
        <v>26</v>
      </c>
      <c r="P1103" s="204" t="s">
        <v>2276</v>
      </c>
      <c r="Q1103" s="204" t="s">
        <v>2276</v>
      </c>
      <c r="R1103" s="204" t="s">
        <v>2276</v>
      </c>
      <c r="S1103" s="204" t="s">
        <v>2276</v>
      </c>
      <c r="T1103" s="204" t="s">
        <v>7221</v>
      </c>
    </row>
    <row r="1104" spans="1:20" ht="32" customHeight="1">
      <c r="A1104" s="19" t="s">
        <v>7169</v>
      </c>
      <c r="B1104" s="204" t="s">
        <v>1197</v>
      </c>
      <c r="C1104" s="204" t="s">
        <v>12</v>
      </c>
      <c r="D1104" s="11" t="s">
        <v>45</v>
      </c>
      <c r="E1104" s="4" t="s">
        <v>3855</v>
      </c>
      <c r="F1104" s="4" t="s">
        <v>2276</v>
      </c>
      <c r="G1104" s="4" t="s">
        <v>2276</v>
      </c>
      <c r="H1104" s="21">
        <v>1.1000000000000001</v>
      </c>
      <c r="I1104" s="4" t="s">
        <v>2276</v>
      </c>
      <c r="J1104" s="204" t="s">
        <v>2276</v>
      </c>
      <c r="K1104" s="204" t="s">
        <v>2276</v>
      </c>
      <c r="L1104" s="204" t="s">
        <v>2276</v>
      </c>
      <c r="M1104" s="204" t="s">
        <v>2276</v>
      </c>
      <c r="N1104" s="204" t="s">
        <v>2276</v>
      </c>
      <c r="O1104" s="21">
        <v>26</v>
      </c>
      <c r="P1104" s="204" t="s">
        <v>2276</v>
      </c>
      <c r="Q1104" s="204" t="s">
        <v>2276</v>
      </c>
      <c r="R1104" s="204" t="s">
        <v>2276</v>
      </c>
      <c r="S1104" s="204" t="s">
        <v>2276</v>
      </c>
      <c r="T1104" s="204" t="s">
        <v>7221</v>
      </c>
    </row>
    <row r="1105" spans="1:20" ht="29" customHeight="1">
      <c r="A1105" s="19" t="s">
        <v>7170</v>
      </c>
      <c r="B1105" s="204" t="s">
        <v>2258</v>
      </c>
      <c r="C1105" s="204" t="s">
        <v>12</v>
      </c>
      <c r="D1105" s="11" t="s">
        <v>45</v>
      </c>
      <c r="E1105" s="4" t="s">
        <v>2276</v>
      </c>
      <c r="F1105" s="4" t="s">
        <v>2276</v>
      </c>
      <c r="G1105" s="4" t="s">
        <v>2276</v>
      </c>
      <c r="H1105" s="21">
        <v>0.9</v>
      </c>
      <c r="I1105" s="4" t="s">
        <v>2276</v>
      </c>
      <c r="J1105" s="204" t="s">
        <v>2276</v>
      </c>
      <c r="K1105" s="204" t="s">
        <v>2276</v>
      </c>
      <c r="L1105" s="204" t="s">
        <v>2276</v>
      </c>
      <c r="M1105" s="204" t="s">
        <v>2276</v>
      </c>
      <c r="N1105" s="204" t="s">
        <v>2276</v>
      </c>
      <c r="O1105" s="21">
        <v>64</v>
      </c>
      <c r="P1105" s="204" t="s">
        <v>2276</v>
      </c>
      <c r="Q1105" s="204" t="s">
        <v>2276</v>
      </c>
      <c r="R1105" s="204" t="s">
        <v>2276</v>
      </c>
      <c r="S1105" s="204" t="s">
        <v>2276</v>
      </c>
      <c r="T1105" s="204" t="s">
        <v>7221</v>
      </c>
    </row>
    <row r="1106" spans="1:20" ht="28" customHeight="1">
      <c r="A1106" s="19" t="s">
        <v>7171</v>
      </c>
      <c r="B1106" s="204" t="s">
        <v>32</v>
      </c>
      <c r="C1106" s="204" t="s">
        <v>12</v>
      </c>
      <c r="D1106" s="11" t="s">
        <v>45</v>
      </c>
      <c r="E1106" s="4" t="s">
        <v>2276</v>
      </c>
      <c r="F1106" s="4" t="s">
        <v>2276</v>
      </c>
      <c r="G1106" s="4" t="s">
        <v>2276</v>
      </c>
      <c r="H1106" s="21">
        <v>0.84</v>
      </c>
      <c r="I1106" s="4" t="s">
        <v>2276</v>
      </c>
      <c r="J1106" s="204" t="s">
        <v>2276</v>
      </c>
      <c r="K1106" s="204" t="s">
        <v>2276</v>
      </c>
      <c r="L1106" s="204" t="s">
        <v>2276</v>
      </c>
      <c r="M1106" s="204" t="s">
        <v>2276</v>
      </c>
      <c r="N1106" s="204" t="s">
        <v>2276</v>
      </c>
      <c r="O1106" s="21">
        <v>40</v>
      </c>
      <c r="P1106" s="204" t="s">
        <v>2276</v>
      </c>
      <c r="Q1106" s="204" t="s">
        <v>2276</v>
      </c>
      <c r="R1106" s="204" t="s">
        <v>2276</v>
      </c>
      <c r="S1106" s="204" t="s">
        <v>2276</v>
      </c>
      <c r="T1106" s="204" t="s">
        <v>7221</v>
      </c>
    </row>
    <row r="1107" spans="1:20" ht="23.5" customHeight="1">
      <c r="A1107" s="19" t="s">
        <v>7172</v>
      </c>
      <c r="B1107" s="204" t="s">
        <v>69</v>
      </c>
      <c r="C1107" s="204" t="s">
        <v>12</v>
      </c>
      <c r="D1107" s="11" t="s">
        <v>45</v>
      </c>
      <c r="E1107" s="204" t="s">
        <v>5801</v>
      </c>
      <c r="F1107" s="4" t="s">
        <v>2276</v>
      </c>
      <c r="G1107" s="4" t="s">
        <v>2276</v>
      </c>
      <c r="H1107" s="21">
        <v>0.2</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7221</v>
      </c>
    </row>
    <row r="1108" spans="1:20" ht="36.5" customHeight="1">
      <c r="A1108" s="19" t="s">
        <v>7173</v>
      </c>
      <c r="B1108" s="204" t="s">
        <v>2276</v>
      </c>
      <c r="C1108" s="204" t="s">
        <v>12</v>
      </c>
      <c r="D1108" s="11" t="s">
        <v>45</v>
      </c>
      <c r="E1108" s="204" t="s">
        <v>5005</v>
      </c>
      <c r="F1108" s="4" t="s">
        <v>3855</v>
      </c>
      <c r="G1108" s="4" t="s">
        <v>2276</v>
      </c>
      <c r="H1108" s="21">
        <v>1.6</v>
      </c>
      <c r="I1108" s="4" t="s">
        <v>2276</v>
      </c>
      <c r="J1108" s="204" t="s">
        <v>2276</v>
      </c>
      <c r="K1108" s="204" t="s">
        <v>2276</v>
      </c>
      <c r="L1108" s="204" t="s">
        <v>2276</v>
      </c>
      <c r="M1108" s="204" t="s">
        <v>2276</v>
      </c>
      <c r="N1108" s="204" t="s">
        <v>2276</v>
      </c>
      <c r="O1108" s="21">
        <v>46</v>
      </c>
      <c r="P1108" s="204" t="s">
        <v>2276</v>
      </c>
      <c r="Q1108" s="204" t="s">
        <v>2276</v>
      </c>
      <c r="R1108" s="204" t="s">
        <v>2276</v>
      </c>
      <c r="S1108" s="204" t="s">
        <v>2276</v>
      </c>
      <c r="T1108" s="204" t="s">
        <v>7221</v>
      </c>
    </row>
    <row r="1109" spans="1:20" ht="35" customHeight="1">
      <c r="A1109" s="19" t="s">
        <v>7174</v>
      </c>
      <c r="B1109" s="204" t="s">
        <v>2258</v>
      </c>
      <c r="C1109" s="204" t="s">
        <v>12</v>
      </c>
      <c r="D1109" s="11" t="s">
        <v>45</v>
      </c>
      <c r="E1109" s="204" t="s">
        <v>5005</v>
      </c>
      <c r="F1109" s="4" t="s">
        <v>3855</v>
      </c>
      <c r="G1109" s="4" t="s">
        <v>2276</v>
      </c>
      <c r="H1109" s="21">
        <v>0.38</v>
      </c>
      <c r="I1109" s="4" t="s">
        <v>2276</v>
      </c>
      <c r="J1109" s="204" t="s">
        <v>2276</v>
      </c>
      <c r="K1109" s="204" t="s">
        <v>2276</v>
      </c>
      <c r="L1109" s="204" t="s">
        <v>2276</v>
      </c>
      <c r="M1109" s="204" t="s">
        <v>2276</v>
      </c>
      <c r="N1109" s="204" t="s">
        <v>2276</v>
      </c>
      <c r="O1109" s="21">
        <v>46</v>
      </c>
      <c r="P1109" s="204" t="s">
        <v>2276</v>
      </c>
      <c r="Q1109" s="204" t="s">
        <v>2276</v>
      </c>
      <c r="R1109" s="204" t="s">
        <v>2276</v>
      </c>
      <c r="S1109" s="204" t="s">
        <v>2276</v>
      </c>
      <c r="T1109" s="204" t="s">
        <v>7221</v>
      </c>
    </row>
    <row r="1110" spans="1:20" ht="25" customHeight="1">
      <c r="A1110" s="19" t="s">
        <v>7235</v>
      </c>
      <c r="B1110" s="204" t="s">
        <v>2276</v>
      </c>
      <c r="C1110" s="204" t="s">
        <v>2276</v>
      </c>
      <c r="D1110" s="204" t="s">
        <v>2649</v>
      </c>
      <c r="E1110" s="204" t="s">
        <v>137</v>
      </c>
      <c r="F1110" s="204" t="s">
        <v>2276</v>
      </c>
      <c r="G1110" s="204" t="s">
        <v>2276</v>
      </c>
      <c r="H1110" s="204" t="s">
        <v>2276</v>
      </c>
      <c r="I1110" s="204" t="s">
        <v>2276</v>
      </c>
      <c r="J1110" s="204" t="s">
        <v>2276</v>
      </c>
      <c r="K1110" s="204" t="s">
        <v>2276</v>
      </c>
      <c r="L1110" s="204" t="s">
        <v>2276</v>
      </c>
      <c r="M1110" s="204" t="s">
        <v>2276</v>
      </c>
      <c r="N1110" s="204" t="s">
        <v>2276</v>
      </c>
      <c r="O1110" s="204" t="s">
        <v>2276</v>
      </c>
      <c r="P1110" s="204" t="s">
        <v>2276</v>
      </c>
      <c r="Q1110" s="204" t="s">
        <v>2276</v>
      </c>
      <c r="R1110" s="204" t="s">
        <v>2276</v>
      </c>
      <c r="S1110" s="204" t="s">
        <v>2276</v>
      </c>
      <c r="T1110" s="204"/>
    </row>
    <row r="1111" spans="1:20" ht="28" customHeight="1">
      <c r="A1111" s="19" t="s">
        <v>7236</v>
      </c>
      <c r="B1111" s="204" t="s">
        <v>2276</v>
      </c>
      <c r="C1111" s="204" t="s">
        <v>2645</v>
      </c>
      <c r="D1111" s="204" t="s">
        <v>2649</v>
      </c>
      <c r="E1111" s="204" t="s">
        <v>137</v>
      </c>
      <c r="F1111" s="204" t="s">
        <v>2276</v>
      </c>
      <c r="G1111" s="204" t="s">
        <v>2276</v>
      </c>
      <c r="H1111" s="204" t="s">
        <v>2276</v>
      </c>
      <c r="I1111" s="204" t="s">
        <v>2276</v>
      </c>
      <c r="J1111" s="204" t="s">
        <v>2276</v>
      </c>
      <c r="K1111" s="204" t="s">
        <v>2276</v>
      </c>
      <c r="L1111" s="204" t="s">
        <v>2276</v>
      </c>
      <c r="M1111" s="204" t="s">
        <v>2276</v>
      </c>
      <c r="N1111" s="204" t="s">
        <v>2276</v>
      </c>
      <c r="O1111" s="204" t="s">
        <v>2276</v>
      </c>
      <c r="P1111" s="204" t="s">
        <v>2276</v>
      </c>
      <c r="Q1111" s="204" t="s">
        <v>2276</v>
      </c>
      <c r="R1111" s="204" t="s">
        <v>2276</v>
      </c>
      <c r="S1111" s="204" t="s">
        <v>2276</v>
      </c>
      <c r="T1111" s="204"/>
    </row>
    <row r="1112" spans="1:20" ht="25" customHeight="1">
      <c r="A1112" s="19" t="s">
        <v>7237</v>
      </c>
      <c r="B1112" s="204" t="s">
        <v>2276</v>
      </c>
      <c r="C1112" s="204" t="s">
        <v>2646</v>
      </c>
      <c r="D1112" s="204" t="s">
        <v>137</v>
      </c>
      <c r="E1112" s="204" t="s">
        <v>45</v>
      </c>
      <c r="F1112" s="204" t="s">
        <v>2276</v>
      </c>
      <c r="G1112" s="204" t="s">
        <v>2276</v>
      </c>
      <c r="H1112" s="204" t="s">
        <v>2276</v>
      </c>
      <c r="I1112" s="204" t="s">
        <v>2276</v>
      </c>
      <c r="J1112" s="204" t="s">
        <v>2276</v>
      </c>
      <c r="K1112" s="204" t="s">
        <v>2276</v>
      </c>
      <c r="L1112" s="204" t="s">
        <v>2276</v>
      </c>
      <c r="M1112" s="204" t="s">
        <v>2276</v>
      </c>
      <c r="N1112" s="204" t="s">
        <v>2276</v>
      </c>
      <c r="O1112" s="204" t="s">
        <v>2276</v>
      </c>
      <c r="P1112" s="204" t="s">
        <v>2276</v>
      </c>
      <c r="Q1112" s="204" t="s">
        <v>2276</v>
      </c>
      <c r="R1112" s="204" t="s">
        <v>2276</v>
      </c>
      <c r="S1112" s="204" t="s">
        <v>2276</v>
      </c>
      <c r="T1112" s="204"/>
    </row>
    <row r="1113" spans="1:20" ht="25" customHeight="1">
      <c r="A1113" s="19" t="s">
        <v>7238</v>
      </c>
      <c r="B1113" s="204" t="s">
        <v>2276</v>
      </c>
      <c r="C1113" s="204" t="s">
        <v>2646</v>
      </c>
      <c r="D1113" s="204" t="s">
        <v>137</v>
      </c>
      <c r="E1113" s="204" t="s">
        <v>45</v>
      </c>
      <c r="F1113" s="204" t="s">
        <v>2276</v>
      </c>
      <c r="G1113" s="204" t="s">
        <v>2276</v>
      </c>
      <c r="H1113" s="204" t="s">
        <v>2276</v>
      </c>
      <c r="I1113" s="204" t="s">
        <v>2276</v>
      </c>
      <c r="J1113" s="204" t="s">
        <v>2276</v>
      </c>
      <c r="K1113" s="204" t="s">
        <v>2276</v>
      </c>
      <c r="L1113" s="204" t="s">
        <v>2276</v>
      </c>
      <c r="M1113" s="204" t="s">
        <v>2276</v>
      </c>
      <c r="N1113" s="204" t="s">
        <v>2276</v>
      </c>
      <c r="O1113" s="204" t="s">
        <v>2276</v>
      </c>
      <c r="P1113" s="204" t="s">
        <v>2276</v>
      </c>
      <c r="Q1113" s="204" t="s">
        <v>2276</v>
      </c>
      <c r="R1113" s="204" t="s">
        <v>2276</v>
      </c>
      <c r="S1113" s="204" t="s">
        <v>2276</v>
      </c>
      <c r="T1113" s="204"/>
    </row>
    <row r="1114" spans="1:20" ht="25" customHeight="1">
      <c r="A1114" s="19" t="s">
        <v>7239</v>
      </c>
      <c r="B1114" s="204" t="s">
        <v>2276</v>
      </c>
      <c r="C1114" s="204" t="s">
        <v>2646</v>
      </c>
      <c r="D1114" s="204" t="s">
        <v>137</v>
      </c>
      <c r="E1114" s="204" t="s">
        <v>45</v>
      </c>
      <c r="F1114" s="204" t="s">
        <v>2276</v>
      </c>
      <c r="G1114" s="204" t="s">
        <v>2276</v>
      </c>
      <c r="H1114" s="204" t="s">
        <v>2276</v>
      </c>
      <c r="I1114" s="204" t="s">
        <v>2276</v>
      </c>
      <c r="J1114" s="204" t="s">
        <v>2276</v>
      </c>
      <c r="K1114" s="204" t="s">
        <v>2276</v>
      </c>
      <c r="L1114" s="204" t="s">
        <v>2276</v>
      </c>
      <c r="M1114" s="204" t="s">
        <v>2276</v>
      </c>
      <c r="N1114" s="204" t="s">
        <v>2276</v>
      </c>
      <c r="O1114" s="204" t="s">
        <v>2276</v>
      </c>
      <c r="P1114" s="204" t="s">
        <v>2276</v>
      </c>
      <c r="Q1114" s="204" t="s">
        <v>2276</v>
      </c>
      <c r="R1114" s="204" t="s">
        <v>2276</v>
      </c>
      <c r="S1114" s="204" t="s">
        <v>2276</v>
      </c>
      <c r="T1114" s="204"/>
    </row>
    <row r="1115" spans="1:20" ht="41.5" customHeight="1">
      <c r="A1115" s="19" t="s">
        <v>7269</v>
      </c>
      <c r="B1115" s="204" t="s">
        <v>2276</v>
      </c>
      <c r="C1115" s="204" t="s">
        <v>2276</v>
      </c>
      <c r="D1115" s="204" t="s">
        <v>3209</v>
      </c>
      <c r="E1115" s="204" t="s">
        <v>2276</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4" t="s">
        <v>7635</v>
      </c>
    </row>
    <row r="1116" spans="1:20" ht="41.5" customHeight="1">
      <c r="A1116" s="19" t="s">
        <v>7282</v>
      </c>
      <c r="B1116" s="204" t="s">
        <v>2276</v>
      </c>
      <c r="C1116" s="204" t="s">
        <v>2276</v>
      </c>
      <c r="D1116" s="204" t="s">
        <v>3209</v>
      </c>
      <c r="E1116" s="204" t="s">
        <v>2276</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4" t="s">
        <v>7635</v>
      </c>
    </row>
    <row r="1117" spans="1:20" ht="41.5" customHeight="1">
      <c r="A1117" s="19" t="s">
        <v>7283</v>
      </c>
      <c r="B1117" s="204" t="s">
        <v>2276</v>
      </c>
      <c r="C1117" s="204" t="s">
        <v>2276</v>
      </c>
      <c r="D1117" s="204" t="s">
        <v>3209</v>
      </c>
      <c r="E1117" s="204" t="s">
        <v>2276</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4" t="s">
        <v>7635</v>
      </c>
    </row>
    <row r="1118" spans="1:20" ht="41.5" customHeight="1">
      <c r="A1118" s="19" t="s">
        <v>7284</v>
      </c>
      <c r="B1118" s="204" t="s">
        <v>2276</v>
      </c>
      <c r="C1118" s="204" t="s">
        <v>2276</v>
      </c>
      <c r="D1118" s="204" t="s">
        <v>3209</v>
      </c>
      <c r="E1118" s="204" t="s">
        <v>2276</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4" t="s">
        <v>7635</v>
      </c>
    </row>
    <row r="1119" spans="1:20" ht="41.5" customHeight="1">
      <c r="A1119" s="19" t="s">
        <v>7285</v>
      </c>
      <c r="B1119" s="204" t="s">
        <v>2276</v>
      </c>
      <c r="C1119" s="204" t="s">
        <v>2276</v>
      </c>
      <c r="D1119" s="204" t="s">
        <v>3209</v>
      </c>
      <c r="E1119" s="204" t="s">
        <v>2276</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4" t="s">
        <v>7635</v>
      </c>
    </row>
    <row r="1120" spans="1:20" ht="41.5" customHeight="1">
      <c r="A1120" s="19" t="s">
        <v>7286</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7635</v>
      </c>
    </row>
    <row r="1121" spans="1:20" ht="41.5" customHeight="1">
      <c r="A1121" s="19" t="s">
        <v>7287</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7635</v>
      </c>
    </row>
    <row r="1122" spans="1:20" ht="41.5" customHeight="1">
      <c r="A1122" s="19" t="s">
        <v>7288</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7635</v>
      </c>
    </row>
    <row r="1123" spans="1:20" ht="41.5" customHeight="1">
      <c r="A1123" s="19" t="s">
        <v>7289</v>
      </c>
      <c r="B1123" s="204" t="s">
        <v>2276</v>
      </c>
      <c r="C1123" s="204" t="s">
        <v>2646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7635</v>
      </c>
    </row>
    <row r="1124" spans="1:20" ht="41.5" customHeight="1">
      <c r="A1124" s="19" t="s">
        <v>7290</v>
      </c>
      <c r="B1124" s="204" t="s">
        <v>2276</v>
      </c>
      <c r="C1124" s="204" t="s">
        <v>2646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7635</v>
      </c>
    </row>
    <row r="1125" spans="1:20" ht="41.5" customHeight="1">
      <c r="A1125" s="19" t="s">
        <v>7291</v>
      </c>
      <c r="B1125" s="204" t="s">
        <v>2276</v>
      </c>
      <c r="C1125" s="204" t="s">
        <v>2646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7635</v>
      </c>
    </row>
    <row r="1126" spans="1:20" ht="41.5" customHeight="1">
      <c r="A1126" s="19" t="s">
        <v>7292</v>
      </c>
      <c r="B1126" s="204" t="s">
        <v>2276</v>
      </c>
      <c r="C1126" s="204" t="s">
        <v>2646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7635</v>
      </c>
    </row>
    <row r="1127" spans="1:20" ht="41.5" customHeight="1">
      <c r="A1127" s="19" t="s">
        <v>7293</v>
      </c>
      <c r="B1127" s="204" t="s">
        <v>2276</v>
      </c>
      <c r="C1127" s="204" t="s">
        <v>2646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7635</v>
      </c>
    </row>
    <row r="1128" spans="1:20" ht="41.5" customHeight="1">
      <c r="A1128" s="19" t="s">
        <v>7294</v>
      </c>
      <c r="B1128" s="204" t="s">
        <v>2276</v>
      </c>
      <c r="C1128" s="204" t="s">
        <v>2276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7635</v>
      </c>
    </row>
    <row r="1129" spans="1:20" ht="41.5" customHeight="1">
      <c r="A1129" s="19" t="s">
        <v>7380</v>
      </c>
      <c r="B1129" s="204" t="s">
        <v>2276</v>
      </c>
      <c r="C1129" s="204" t="s">
        <v>2276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7635</v>
      </c>
    </row>
    <row r="1130" spans="1:20" ht="41.5" customHeight="1">
      <c r="A1130" s="19" t="s">
        <v>7381</v>
      </c>
      <c r="B1130" s="204" t="s">
        <v>2276</v>
      </c>
      <c r="C1130" s="204" t="s">
        <v>2276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7635</v>
      </c>
    </row>
    <row r="1131" spans="1:20" ht="41.5" customHeight="1">
      <c r="A1131" s="19" t="s">
        <v>7382</v>
      </c>
      <c r="B1131" s="204" t="s">
        <v>2276</v>
      </c>
      <c r="C1131" s="204" t="s">
        <v>2276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7635</v>
      </c>
    </row>
    <row r="1132" spans="1:20" ht="41.5" customHeight="1">
      <c r="A1132" s="19" t="s">
        <v>7383</v>
      </c>
      <c r="B1132" s="204" t="s">
        <v>2276</v>
      </c>
      <c r="C1132" s="204" t="s">
        <v>2276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7635</v>
      </c>
    </row>
    <row r="1133" spans="1:20" ht="41.5" customHeight="1">
      <c r="A1133" s="19" t="s">
        <v>7384</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7635</v>
      </c>
    </row>
    <row r="1134" spans="1:20" ht="41.5" customHeight="1">
      <c r="A1134" s="19" t="s">
        <v>7385</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7635</v>
      </c>
    </row>
    <row r="1135" spans="1:20" ht="41.5" customHeight="1">
      <c r="A1135" s="19" t="s">
        <v>7386</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7635</v>
      </c>
    </row>
    <row r="1136" spans="1:20" ht="41.5" customHeight="1">
      <c r="A1136" s="19" t="s">
        <v>7387</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7635</v>
      </c>
    </row>
    <row r="1137" spans="1:20" ht="41.5" customHeight="1">
      <c r="A1137" s="19" t="s">
        <v>7388</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7635</v>
      </c>
    </row>
    <row r="1138" spans="1:20" ht="41.5" customHeight="1">
      <c r="A1138" s="19" t="s">
        <v>7389</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7635</v>
      </c>
    </row>
    <row r="1139" spans="1:20" ht="41.5" customHeight="1">
      <c r="A1139" s="19" t="s">
        <v>7390</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7635</v>
      </c>
    </row>
    <row r="1140" spans="1:20" ht="41.5" customHeight="1">
      <c r="A1140" s="19" t="s">
        <v>7391</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7635</v>
      </c>
    </row>
    <row r="1141" spans="1:20" ht="41.5" customHeight="1">
      <c r="A1141" s="19" t="s">
        <v>7392</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7635</v>
      </c>
    </row>
    <row r="1142" spans="1:20" ht="41.5" customHeight="1">
      <c r="A1142" s="19" t="s">
        <v>7393</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7635</v>
      </c>
    </row>
    <row r="1143" spans="1:20" ht="41.5" customHeight="1">
      <c r="A1143" s="19" t="s">
        <v>7394</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7635</v>
      </c>
    </row>
    <row r="1144" spans="1:20" ht="41.5" customHeight="1">
      <c r="A1144" s="19" t="s">
        <v>7395</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7635</v>
      </c>
    </row>
    <row r="1145" spans="1:20" ht="41.5" customHeight="1">
      <c r="A1145" s="19" t="s">
        <v>7396</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7635</v>
      </c>
    </row>
    <row r="1146" spans="1:20" ht="41.5" customHeight="1">
      <c r="A1146" s="19" t="s">
        <v>7595</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7635</v>
      </c>
    </row>
    <row r="1147" spans="1:20" ht="41.5" customHeight="1">
      <c r="A1147" s="19" t="s">
        <v>7617</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7635</v>
      </c>
    </row>
    <row r="1148" spans="1:20" ht="41.5" customHeight="1">
      <c r="A1148" s="19" t="s">
        <v>7620</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7635</v>
      </c>
    </row>
    <row r="1149" spans="1:20" ht="41.5" customHeight="1">
      <c r="A1149" s="19" t="s">
        <v>7621</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7635</v>
      </c>
    </row>
    <row r="1150" spans="1:20" ht="37" customHeight="1">
      <c r="A1150" s="55" t="s">
        <v>7644</v>
      </c>
      <c r="B1150" s="4" t="s">
        <v>1197</v>
      </c>
      <c r="C1150" s="204" t="s">
        <v>2645</v>
      </c>
      <c r="D1150" s="165" t="s">
        <v>3209</v>
      </c>
      <c r="E1150" s="204" t="s">
        <v>2276</v>
      </c>
      <c r="F1150" s="204" t="s">
        <v>2276</v>
      </c>
      <c r="G1150" s="204" t="s">
        <v>2276</v>
      </c>
      <c r="H1150" s="204" t="s">
        <v>2276</v>
      </c>
      <c r="I1150" s="204" t="s">
        <v>2276</v>
      </c>
      <c r="J1150" s="204" t="s">
        <v>2276</v>
      </c>
      <c r="K1150" s="4" t="s">
        <v>534</v>
      </c>
      <c r="L1150" s="204" t="s">
        <v>2276</v>
      </c>
      <c r="M1150" s="204" t="s">
        <v>2276</v>
      </c>
      <c r="N1150" s="204" t="s">
        <v>2276</v>
      </c>
      <c r="O1150" s="204" t="s">
        <v>2276</v>
      </c>
      <c r="P1150" s="204" t="s">
        <v>2276</v>
      </c>
      <c r="Q1150" s="204" t="s">
        <v>2276</v>
      </c>
      <c r="R1150" s="204" t="s">
        <v>2276</v>
      </c>
      <c r="S1150" s="204" t="s">
        <v>2276</v>
      </c>
      <c r="T1150" s="4" t="s">
        <v>7779</v>
      </c>
    </row>
    <row r="1151" spans="1:20" ht="37" customHeight="1">
      <c r="A1151" s="19" t="s">
        <v>7645</v>
      </c>
      <c r="B1151" s="4" t="s">
        <v>1197</v>
      </c>
      <c r="C1151" s="204" t="s">
        <v>2645</v>
      </c>
      <c r="D1151" s="165"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204" t="s">
        <v>7777</v>
      </c>
    </row>
    <row r="1152" spans="1:20" ht="37" customHeight="1">
      <c r="A1152" s="19" t="s">
        <v>7646</v>
      </c>
      <c r="B1152" s="4" t="s">
        <v>1197</v>
      </c>
      <c r="C1152" s="204" t="s">
        <v>2645</v>
      </c>
      <c r="D1152" s="165"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204" t="s">
        <v>7777</v>
      </c>
    </row>
    <row r="1153" spans="1:20" ht="37" customHeight="1">
      <c r="A1153" s="19" t="s">
        <v>7647</v>
      </c>
      <c r="B1153" s="4" t="s">
        <v>1197</v>
      </c>
      <c r="C1153" s="204" t="s">
        <v>2645</v>
      </c>
      <c r="D1153" s="165"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204" t="s">
        <v>7777</v>
      </c>
    </row>
    <row r="1154" spans="1:20" ht="37" customHeight="1">
      <c r="A1154" s="19" t="s">
        <v>7648</v>
      </c>
      <c r="B1154" s="4" t="s">
        <v>1197</v>
      </c>
      <c r="C1154" s="204" t="s">
        <v>2645</v>
      </c>
      <c r="D1154" s="165"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204" t="s">
        <v>7777</v>
      </c>
    </row>
    <row r="1155" spans="1:20" ht="37" customHeight="1">
      <c r="A1155" s="19" t="s">
        <v>7649</v>
      </c>
      <c r="B1155" s="4" t="s">
        <v>1197</v>
      </c>
      <c r="C1155" s="204" t="s">
        <v>2645</v>
      </c>
      <c r="D1155" s="165" t="s">
        <v>3209</v>
      </c>
      <c r="E1155" s="204" t="s">
        <v>2276</v>
      </c>
      <c r="F1155" s="204" t="s">
        <v>2276</v>
      </c>
      <c r="G1155" s="204" t="s">
        <v>2276</v>
      </c>
      <c r="H1155" s="204" t="s">
        <v>2276</v>
      </c>
      <c r="I1155" s="204" t="s">
        <v>2276</v>
      </c>
      <c r="J1155" s="204" t="s">
        <v>2276</v>
      </c>
      <c r="K1155" s="204" t="s">
        <v>2276</v>
      </c>
      <c r="L1155" s="204" t="s">
        <v>2276</v>
      </c>
      <c r="M1155" s="204" t="s">
        <v>2276</v>
      </c>
      <c r="N1155" s="204" t="s">
        <v>2276</v>
      </c>
      <c r="O1155" s="204" t="s">
        <v>2276</v>
      </c>
      <c r="P1155" s="204" t="s">
        <v>2276</v>
      </c>
      <c r="Q1155" s="204" t="s">
        <v>2276</v>
      </c>
      <c r="R1155" s="204" t="s">
        <v>2276</v>
      </c>
      <c r="S1155" s="204" t="s">
        <v>2276</v>
      </c>
      <c r="T1155" s="204" t="s">
        <v>7777</v>
      </c>
    </row>
    <row r="1156" spans="1:20" ht="37" customHeight="1">
      <c r="A1156" s="19" t="s">
        <v>7650</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7777</v>
      </c>
    </row>
    <row r="1157" spans="1:20" ht="37" customHeight="1">
      <c r="A1157" s="19" t="s">
        <v>7651</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7777</v>
      </c>
    </row>
    <row r="1158" spans="1:20" ht="37" customHeight="1">
      <c r="A1158" s="19" t="s">
        <v>7652</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7777</v>
      </c>
    </row>
    <row r="1159" spans="1:20" ht="37" customHeight="1">
      <c r="A1159" s="19" t="s">
        <v>7653</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7777</v>
      </c>
    </row>
    <row r="1160" spans="1:20" ht="37" customHeight="1">
      <c r="A1160" s="19" t="s">
        <v>7654</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7777</v>
      </c>
    </row>
    <row r="1161" spans="1:20" ht="37" customHeight="1">
      <c r="A1161" s="19" t="s">
        <v>7655</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7777</v>
      </c>
    </row>
    <row r="1162" spans="1:20" ht="37" customHeight="1">
      <c r="A1162" s="19" t="s">
        <v>7656</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7777</v>
      </c>
    </row>
    <row r="1163" spans="1:20" ht="37" customHeight="1">
      <c r="A1163" s="19" t="s">
        <v>7657</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7777</v>
      </c>
    </row>
    <row r="1164" spans="1:20" ht="37" customHeight="1">
      <c r="A1164" s="19" t="s">
        <v>7658</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7777</v>
      </c>
    </row>
    <row r="1165" spans="1:20" ht="37" customHeight="1">
      <c r="A1165" s="19" t="s">
        <v>7659</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7777</v>
      </c>
    </row>
    <row r="1166" spans="1:20" ht="37" customHeight="1">
      <c r="A1166" s="19" t="s">
        <v>7660</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7777</v>
      </c>
    </row>
    <row r="1167" spans="1:20" ht="37" customHeight="1">
      <c r="A1167" s="19" t="s">
        <v>7661</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7777</v>
      </c>
    </row>
    <row r="1168" spans="1:20" ht="37" customHeight="1">
      <c r="A1168" s="19" t="s">
        <v>7662</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7777</v>
      </c>
    </row>
    <row r="1169" spans="1:20" ht="37" customHeight="1">
      <c r="A1169" s="19" t="s">
        <v>7663</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7777</v>
      </c>
    </row>
    <row r="1170" spans="1:20" ht="37" customHeight="1">
      <c r="A1170" s="19" t="s">
        <v>7664</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7777</v>
      </c>
    </row>
    <row r="1171" spans="1:20" ht="37" customHeight="1">
      <c r="A1171" s="19" t="s">
        <v>7665</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7777</v>
      </c>
    </row>
    <row r="1172" spans="1:20" ht="37" customHeight="1">
      <c r="A1172" s="19" t="s">
        <v>7666</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7777</v>
      </c>
    </row>
    <row r="1173" spans="1:20" ht="37" customHeight="1">
      <c r="A1173" s="19" t="s">
        <v>7667</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7777</v>
      </c>
    </row>
    <row r="1174" spans="1:20" ht="37" customHeight="1">
      <c r="A1174" s="19" t="s">
        <v>7668</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7777</v>
      </c>
    </row>
    <row r="1175" spans="1:20" ht="37" customHeight="1">
      <c r="A1175" s="19" t="s">
        <v>7669</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7777</v>
      </c>
    </row>
    <row r="1176" spans="1:20" ht="37" customHeight="1">
      <c r="A1176" s="19" t="s">
        <v>7670</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7777</v>
      </c>
    </row>
    <row r="1177" spans="1:20" ht="37" customHeight="1">
      <c r="A1177" s="19" t="s">
        <v>7671</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7777</v>
      </c>
    </row>
    <row r="1178" spans="1:20" ht="37" customHeight="1">
      <c r="A1178" s="19" t="s">
        <v>7672</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7777</v>
      </c>
    </row>
    <row r="1179" spans="1:20" ht="37" customHeight="1">
      <c r="A1179" s="19" t="s">
        <v>7673</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7777</v>
      </c>
    </row>
    <row r="1180" spans="1:20" ht="37" customHeight="1">
      <c r="A1180" s="19" t="s">
        <v>7674</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7777</v>
      </c>
    </row>
    <row r="1181" spans="1:20" ht="37" customHeight="1">
      <c r="A1181" s="19" t="s">
        <v>7594</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7777</v>
      </c>
    </row>
    <row r="1182" spans="1:20" ht="37" customHeight="1">
      <c r="A1182" s="19" t="s">
        <v>7615</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7777</v>
      </c>
    </row>
    <row r="1183" spans="1:20" ht="37" customHeight="1">
      <c r="A1183" s="19" t="s">
        <v>7675</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7777</v>
      </c>
    </row>
    <row r="1184" spans="1:20" ht="37" customHeight="1">
      <c r="A1184" s="19" t="s">
        <v>7676</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7777</v>
      </c>
    </row>
    <row r="1185" spans="1:20" ht="37" customHeight="1">
      <c r="A1185" s="19" t="s">
        <v>7677</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7777</v>
      </c>
    </row>
    <row r="1186" spans="1:20" ht="37" customHeight="1">
      <c r="A1186" s="19" t="s">
        <v>7678</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7777</v>
      </c>
    </row>
    <row r="1187" spans="1:20" ht="37" customHeight="1">
      <c r="A1187" s="19" t="s">
        <v>7679</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7777</v>
      </c>
    </row>
    <row r="1188" spans="1:20" ht="37" customHeight="1">
      <c r="A1188" s="19" t="s">
        <v>7680</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7777</v>
      </c>
    </row>
    <row r="1189" spans="1:20" ht="37" customHeight="1">
      <c r="A1189" s="19" t="s">
        <v>7681</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7777</v>
      </c>
    </row>
    <row r="1190" spans="1:20" ht="37" customHeight="1">
      <c r="A1190" s="19" t="s">
        <v>7682</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7777</v>
      </c>
    </row>
    <row r="1191" spans="1:20" ht="37" customHeight="1">
      <c r="A1191" s="19" t="s">
        <v>7683</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7777</v>
      </c>
    </row>
    <row r="1192" spans="1:20" ht="37" customHeight="1">
      <c r="A1192" s="19" t="s">
        <v>7684</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7777</v>
      </c>
    </row>
    <row r="1193" spans="1:20" ht="37" customHeight="1">
      <c r="A1193" s="19" t="s">
        <v>7685</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7777</v>
      </c>
    </row>
    <row r="1194" spans="1:20" ht="37" customHeight="1">
      <c r="A1194" s="19" t="s">
        <v>7686</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7777</v>
      </c>
    </row>
    <row r="1195" spans="1:20" ht="37" customHeight="1">
      <c r="A1195" s="19" t="s">
        <v>7687</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7777</v>
      </c>
    </row>
    <row r="1196" spans="1:20" ht="37" customHeight="1">
      <c r="A1196" s="19" t="s">
        <v>7688</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7777</v>
      </c>
    </row>
    <row r="1197" spans="1:20" ht="37" customHeight="1">
      <c r="A1197" s="19" t="s">
        <v>7689</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7777</v>
      </c>
    </row>
    <row r="1198" spans="1:20" ht="37" customHeight="1">
      <c r="A1198" s="19" t="s">
        <v>7690</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7777</v>
      </c>
    </row>
    <row r="1199" spans="1:20" ht="37" customHeight="1">
      <c r="A1199" s="19" t="s">
        <v>7691</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7777</v>
      </c>
    </row>
    <row r="1200" spans="1:20" ht="37" customHeight="1">
      <c r="A1200" s="19" t="s">
        <v>7692</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7777</v>
      </c>
    </row>
    <row r="1201" spans="1:20" ht="37" customHeight="1">
      <c r="A1201" s="19" t="s">
        <v>7693</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7777</v>
      </c>
    </row>
    <row r="1202" spans="1:20" ht="37" customHeight="1">
      <c r="A1202" s="19" t="s">
        <v>7761</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7777</v>
      </c>
    </row>
    <row r="1203" spans="1:20" ht="37" customHeight="1">
      <c r="A1203" s="19" t="s">
        <v>7762</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7777</v>
      </c>
    </row>
    <row r="1204" spans="1:20" ht="37" customHeight="1">
      <c r="A1204" s="19" t="s">
        <v>7763</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7777</v>
      </c>
    </row>
    <row r="1205" spans="1:20" ht="37" customHeight="1">
      <c r="A1205" s="19" t="s">
        <v>7764</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7777</v>
      </c>
    </row>
    <row r="1206" spans="1:20" ht="37" customHeight="1">
      <c r="A1206" s="19" t="s">
        <v>7765</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7777</v>
      </c>
    </row>
    <row r="1207" spans="1:20" ht="37" customHeight="1">
      <c r="A1207" s="19" t="s">
        <v>7766</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7777</v>
      </c>
    </row>
    <row r="1208" spans="1:20" ht="37" customHeight="1">
      <c r="A1208" s="19" t="s">
        <v>7767</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7777</v>
      </c>
    </row>
    <row r="1209" spans="1:20" ht="37" customHeight="1">
      <c r="A1209" s="19" t="s">
        <v>7671</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7777</v>
      </c>
    </row>
    <row r="1210" spans="1:20" ht="37" customHeight="1">
      <c r="A1210" s="19" t="s">
        <v>7768</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7777</v>
      </c>
    </row>
    <row r="1211" spans="1:20" ht="37" customHeight="1">
      <c r="A1211" s="19" t="s">
        <v>7769</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7777</v>
      </c>
    </row>
    <row r="1212" spans="1:20" ht="37" customHeight="1">
      <c r="A1212" s="19" t="s">
        <v>7770</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7777</v>
      </c>
    </row>
    <row r="1213" spans="1:20" ht="37" customHeight="1">
      <c r="A1213" s="19" t="s">
        <v>7771</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7777</v>
      </c>
    </row>
    <row r="1214" spans="1:20" ht="37" customHeight="1">
      <c r="A1214" s="19" t="s">
        <v>7772</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7777</v>
      </c>
    </row>
    <row r="1215" spans="1:20" ht="37" customHeight="1">
      <c r="A1215" s="19" t="s">
        <v>7773</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7777</v>
      </c>
    </row>
    <row r="1216" spans="1:20" ht="37" customHeight="1">
      <c r="A1216" s="19" t="s">
        <v>7774</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7777</v>
      </c>
    </row>
    <row r="1217" spans="1:20" ht="37" customHeight="1">
      <c r="A1217" s="19" t="s">
        <v>7775</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7777</v>
      </c>
    </row>
    <row r="1218" spans="1:20" ht="33.5" customHeight="1">
      <c r="A1218" s="19" t="s">
        <v>7853</v>
      </c>
      <c r="B1218" s="204" t="s">
        <v>32</v>
      </c>
      <c r="C1218" s="204" t="s">
        <v>2645</v>
      </c>
      <c r="D1218" s="204" t="s">
        <v>2649</v>
      </c>
      <c r="E1218" s="204" t="s">
        <v>137</v>
      </c>
      <c r="F1218" s="204" t="s">
        <v>2276</v>
      </c>
      <c r="G1218" s="204" t="s">
        <v>2276</v>
      </c>
      <c r="H1218" s="204" t="s">
        <v>2276</v>
      </c>
      <c r="I1218" s="204" t="s">
        <v>2276</v>
      </c>
      <c r="J1218" s="204" t="s">
        <v>2276</v>
      </c>
      <c r="K1218" s="204" t="s">
        <v>534</v>
      </c>
      <c r="L1218" s="204" t="s">
        <v>2276</v>
      </c>
      <c r="M1218" s="204" t="s">
        <v>2276</v>
      </c>
      <c r="N1218" s="204" t="s">
        <v>2276</v>
      </c>
      <c r="O1218" s="204" t="s">
        <v>2276</v>
      </c>
      <c r="P1218" s="204" t="s">
        <v>2276</v>
      </c>
      <c r="Q1218" s="204" t="s">
        <v>2276</v>
      </c>
      <c r="R1218" s="204" t="s">
        <v>2276</v>
      </c>
      <c r="S1218" s="204" t="s">
        <v>2276</v>
      </c>
      <c r="T1218" s="204"/>
    </row>
    <row r="1219" spans="1:20" ht="34.5" customHeight="1">
      <c r="A1219" s="19" t="s">
        <v>7856</v>
      </c>
      <c r="B1219" s="204" t="s">
        <v>1197</v>
      </c>
      <c r="C1219" s="204" t="s">
        <v>2646</v>
      </c>
      <c r="D1219" s="204" t="s">
        <v>137</v>
      </c>
      <c r="E1219" s="204" t="s">
        <v>2276</v>
      </c>
      <c r="F1219" s="204" t="s">
        <v>2276</v>
      </c>
      <c r="G1219" s="204" t="s">
        <v>2276</v>
      </c>
      <c r="H1219" s="204" t="s">
        <v>2276</v>
      </c>
      <c r="I1219" s="204" t="s">
        <v>2276</v>
      </c>
      <c r="J1219" s="204" t="s">
        <v>2276</v>
      </c>
      <c r="K1219" s="204" t="s">
        <v>534</v>
      </c>
      <c r="L1219" s="204" t="s">
        <v>2276</v>
      </c>
      <c r="M1219" s="204" t="s">
        <v>2276</v>
      </c>
      <c r="N1219" s="204" t="s">
        <v>2276</v>
      </c>
      <c r="O1219" s="204" t="s">
        <v>2276</v>
      </c>
      <c r="P1219" s="204" t="s">
        <v>2276</v>
      </c>
      <c r="Q1219" s="204" t="s">
        <v>2276</v>
      </c>
      <c r="R1219" s="204" t="s">
        <v>2276</v>
      </c>
      <c r="S1219" s="204" t="s">
        <v>2276</v>
      </c>
      <c r="T1219" s="204"/>
    </row>
    <row r="1220" spans="1:20" ht="36" customHeight="1">
      <c r="A1220" s="19" t="s">
        <v>7874</v>
      </c>
      <c r="B1220" s="204" t="s">
        <v>2276</v>
      </c>
      <c r="C1220" s="204" t="s">
        <v>12</v>
      </c>
      <c r="D1220" s="204" t="s">
        <v>45</v>
      </c>
      <c r="E1220" s="204" t="s">
        <v>130</v>
      </c>
      <c r="F1220" s="204" t="s">
        <v>863</v>
      </c>
      <c r="G1220" s="204" t="s">
        <v>3854</v>
      </c>
      <c r="H1220" s="204" t="s">
        <v>2276</v>
      </c>
      <c r="I1220" s="204" t="s">
        <v>2276</v>
      </c>
      <c r="J1220" s="204" t="s">
        <v>2276</v>
      </c>
      <c r="K1220" s="204" t="s">
        <v>534</v>
      </c>
      <c r="L1220" s="204" t="s">
        <v>2276</v>
      </c>
      <c r="M1220" s="204" t="s">
        <v>2276</v>
      </c>
      <c r="N1220" s="204" t="s">
        <v>2276</v>
      </c>
      <c r="O1220" s="204" t="s">
        <v>2276</v>
      </c>
      <c r="P1220" s="204" t="s">
        <v>2276</v>
      </c>
      <c r="Q1220" s="204" t="s">
        <v>2276</v>
      </c>
      <c r="R1220" s="204" t="s">
        <v>2276</v>
      </c>
      <c r="S1220" s="204" t="s">
        <v>2276</v>
      </c>
      <c r="T1220" s="204"/>
    </row>
    <row r="1221" spans="1:20" ht="32" customHeight="1">
      <c r="A1221" s="19" t="s">
        <v>7887</v>
      </c>
      <c r="B1221" s="204" t="s">
        <v>2276</v>
      </c>
      <c r="C1221" s="204" t="s">
        <v>395</v>
      </c>
      <c r="D1221" s="204" t="s">
        <v>5005</v>
      </c>
      <c r="E1221" s="204" t="s">
        <v>45</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row>
    <row r="1222" spans="1:20" ht="33.5" customHeight="1">
      <c r="A1222" s="19" t="s">
        <v>7896</v>
      </c>
      <c r="B1222" s="204" t="s">
        <v>1197</v>
      </c>
      <c r="C1222" s="204" t="s">
        <v>2645</v>
      </c>
      <c r="D1222" s="204" t="s">
        <v>137</v>
      </c>
      <c r="E1222" s="204" t="s">
        <v>45</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t="s">
        <v>2276</v>
      </c>
      <c r="S1222" s="204" t="s">
        <v>2276</v>
      </c>
      <c r="T1222" s="204"/>
    </row>
    <row r="1223" spans="1:20" ht="32.5" customHeight="1">
      <c r="A1223" s="19" t="s">
        <v>7902</v>
      </c>
      <c r="B1223" s="204" t="s">
        <v>1197</v>
      </c>
      <c r="C1223" s="204" t="s">
        <v>2645</v>
      </c>
      <c r="D1223" s="204" t="s">
        <v>137</v>
      </c>
      <c r="E1223" s="204" t="s">
        <v>2649</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26" customHeight="1">
      <c r="A1224" s="55" t="s">
        <v>7908</v>
      </c>
      <c r="B1224" s="204" t="s">
        <v>1197</v>
      </c>
      <c r="C1224" s="204" t="s">
        <v>2646</v>
      </c>
      <c r="D1224" s="204" t="s">
        <v>137</v>
      </c>
      <c r="E1224" s="204" t="s">
        <v>2276</v>
      </c>
      <c r="F1224" s="204" t="s">
        <v>2276</v>
      </c>
      <c r="G1224" s="204" t="s">
        <v>2276</v>
      </c>
      <c r="H1224" s="21">
        <f>1/63.671</f>
        <v>1.5705737305837821E-2</v>
      </c>
      <c r="I1224" s="204" t="s">
        <v>2276</v>
      </c>
      <c r="J1224" s="204" t="s">
        <v>2276</v>
      </c>
      <c r="K1224" s="204" t="s">
        <v>2276</v>
      </c>
      <c r="L1224" s="204" t="s">
        <v>2276</v>
      </c>
      <c r="M1224" s="204" t="s">
        <v>2276</v>
      </c>
      <c r="N1224" s="204" t="s">
        <v>2276</v>
      </c>
      <c r="O1224" s="204" t="s">
        <v>2276</v>
      </c>
      <c r="P1224" s="204" t="s">
        <v>2276</v>
      </c>
      <c r="Q1224" s="204" t="s">
        <v>2276</v>
      </c>
      <c r="R1224" s="204" t="s">
        <v>2276</v>
      </c>
      <c r="S1224" s="204" t="s">
        <v>2276</v>
      </c>
      <c r="T1224" s="204"/>
    </row>
    <row r="1225" spans="1:20" ht="26" customHeight="1">
      <c r="A1225" s="19" t="s">
        <v>7911</v>
      </c>
      <c r="B1225" s="204" t="s">
        <v>1197</v>
      </c>
      <c r="C1225" s="204" t="s">
        <v>2646</v>
      </c>
      <c r="D1225" s="204" t="s">
        <v>137</v>
      </c>
      <c r="E1225" s="204" t="s">
        <v>2276</v>
      </c>
      <c r="F1225" s="204" t="s">
        <v>2276</v>
      </c>
      <c r="G1225" s="204" t="s">
        <v>2276</v>
      </c>
      <c r="H1225" s="21">
        <f>1/46.714</f>
        <v>2.1406858757545919E-2</v>
      </c>
      <c r="I1225" s="204" t="s">
        <v>2276</v>
      </c>
      <c r="J1225" s="204" t="s">
        <v>2276</v>
      </c>
      <c r="K1225" s="204" t="s">
        <v>2276</v>
      </c>
      <c r="L1225" s="204" t="s">
        <v>2276</v>
      </c>
      <c r="M1225" s="204" t="s">
        <v>2276</v>
      </c>
      <c r="N1225" s="204" t="s">
        <v>2276</v>
      </c>
      <c r="O1225" s="204" t="s">
        <v>2276</v>
      </c>
      <c r="P1225" s="204" t="s">
        <v>2276</v>
      </c>
      <c r="Q1225" s="204" t="s">
        <v>2276</v>
      </c>
      <c r="R1225" s="204" t="s">
        <v>2276</v>
      </c>
      <c r="S1225" s="204" t="s">
        <v>2276</v>
      </c>
      <c r="T1225" s="204"/>
    </row>
    <row r="1226" spans="1:20" ht="26" customHeight="1">
      <c r="A1226" s="19" t="s">
        <v>7912</v>
      </c>
      <c r="B1226" s="204" t="s">
        <v>1197</v>
      </c>
      <c r="C1226" s="204" t="s">
        <v>2646</v>
      </c>
      <c r="D1226" s="204" t="s">
        <v>137</v>
      </c>
      <c r="E1226" s="204" t="s">
        <v>2276</v>
      </c>
      <c r="F1226" s="204" t="s">
        <v>2276</v>
      </c>
      <c r="G1226" s="204" t="s">
        <v>2276</v>
      </c>
      <c r="H1226" s="21">
        <f>1/13.613</f>
        <v>7.3459193418056276E-2</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26" customHeight="1">
      <c r="A1227" s="19" t="s">
        <v>7913</v>
      </c>
      <c r="B1227" s="204" t="s">
        <v>1197</v>
      </c>
      <c r="C1227" s="204" t="s">
        <v>2646</v>
      </c>
      <c r="D1227" s="204" t="s">
        <v>137</v>
      </c>
      <c r="E1227" s="204" t="s">
        <v>2276</v>
      </c>
      <c r="F1227" s="204" t="s">
        <v>2276</v>
      </c>
      <c r="G1227" s="204" t="s">
        <v>2276</v>
      </c>
      <c r="H1227" s="21">
        <f>1/14.408</f>
        <v>6.9405885619100507E-2</v>
      </c>
      <c r="I1227" s="204" t="s">
        <v>2276</v>
      </c>
      <c r="J1227" s="204" t="s">
        <v>2276</v>
      </c>
      <c r="K1227" s="204" t="s">
        <v>2276</v>
      </c>
      <c r="L1227" s="204" t="s">
        <v>2276</v>
      </c>
      <c r="M1227" s="204" t="s">
        <v>2276</v>
      </c>
      <c r="N1227" s="204" t="s">
        <v>2276</v>
      </c>
      <c r="O1227" s="204" t="s">
        <v>2276</v>
      </c>
      <c r="P1227" s="204" t="s">
        <v>2276</v>
      </c>
      <c r="Q1227" s="204" t="s">
        <v>2276</v>
      </c>
      <c r="R1227" s="204" t="s">
        <v>2276</v>
      </c>
      <c r="S1227" s="204" t="s">
        <v>2276</v>
      </c>
      <c r="T1227" s="204"/>
    </row>
    <row r="1228" spans="1:20" ht="26" customHeight="1">
      <c r="A1228" s="19" t="s">
        <v>7914</v>
      </c>
      <c r="B1228" s="204" t="s">
        <v>70</v>
      </c>
      <c r="C1228" s="204" t="s">
        <v>2645</v>
      </c>
      <c r="D1228" s="204" t="s">
        <v>2647</v>
      </c>
      <c r="E1228" s="204" t="s">
        <v>2276</v>
      </c>
      <c r="F1228" s="204" t="s">
        <v>2276</v>
      </c>
      <c r="G1228" s="204" t="s">
        <v>2276</v>
      </c>
      <c r="H1228" s="21">
        <f>1/2.092</f>
        <v>0.47801147227533458</v>
      </c>
      <c r="I1228" s="204" t="s">
        <v>2276</v>
      </c>
      <c r="J1228" s="204" t="s">
        <v>2276</v>
      </c>
      <c r="K1228" s="204" t="s">
        <v>2276</v>
      </c>
      <c r="L1228" s="204" t="s">
        <v>2276</v>
      </c>
      <c r="M1228" s="204" t="s">
        <v>2276</v>
      </c>
      <c r="N1228" s="204" t="s">
        <v>2276</v>
      </c>
      <c r="O1228" s="204" t="s">
        <v>2276</v>
      </c>
      <c r="P1228" s="204" t="s">
        <v>2276</v>
      </c>
      <c r="Q1228" s="204" t="s">
        <v>2276</v>
      </c>
      <c r="R1228" s="204" t="s">
        <v>2276</v>
      </c>
      <c r="S1228" s="204" t="s">
        <v>2276</v>
      </c>
      <c r="T1228" s="204"/>
    </row>
    <row r="1229" spans="1:20" ht="26" customHeight="1">
      <c r="A1229" s="19" t="s">
        <v>7915</v>
      </c>
      <c r="B1229" s="204" t="s">
        <v>70</v>
      </c>
      <c r="C1229" s="204" t="s">
        <v>2645</v>
      </c>
      <c r="D1229" s="204" t="s">
        <v>2647</v>
      </c>
      <c r="E1229" s="204" t="s">
        <v>2276</v>
      </c>
      <c r="F1229" s="204" t="s">
        <v>2276</v>
      </c>
      <c r="G1229" s="204" t="s">
        <v>2276</v>
      </c>
      <c r="H1229" s="21">
        <f>1/1.963</f>
        <v>0.50942435048395307</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7916</v>
      </c>
      <c r="B1230" s="204" t="s">
        <v>70</v>
      </c>
      <c r="C1230" s="204" t="s">
        <v>2645</v>
      </c>
      <c r="D1230" s="204" t="s">
        <v>2647</v>
      </c>
      <c r="E1230" s="204" t="s">
        <v>2276</v>
      </c>
      <c r="F1230" s="204" t="s">
        <v>2276</v>
      </c>
      <c r="G1230" s="204" t="s">
        <v>2276</v>
      </c>
      <c r="H1230" s="21">
        <f>1/1.251</f>
        <v>0.79936051159072752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7917</v>
      </c>
      <c r="B1231" s="204" t="s">
        <v>69</v>
      </c>
      <c r="C1231" s="204" t="s">
        <v>395</v>
      </c>
      <c r="D1231" s="204" t="s">
        <v>5005</v>
      </c>
      <c r="E1231" s="204" t="s">
        <v>2276</v>
      </c>
      <c r="F1231" s="204" t="s">
        <v>2276</v>
      </c>
      <c r="G1231" s="204" t="s">
        <v>2276</v>
      </c>
      <c r="H1231" s="21">
        <f>1/1.071</f>
        <v>0.93370681605975725</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36" customHeight="1">
      <c r="A1232" s="19" t="s">
        <v>7931</v>
      </c>
      <c r="B1232" s="204" t="s">
        <v>1197</v>
      </c>
      <c r="C1232" s="204" t="s">
        <v>12</v>
      </c>
      <c r="D1232" s="204" t="s">
        <v>137</v>
      </c>
      <c r="E1232" s="204" t="s">
        <v>45</v>
      </c>
      <c r="F1232" s="204" t="s">
        <v>863</v>
      </c>
      <c r="G1232" s="204" t="s">
        <v>2276</v>
      </c>
      <c r="H1232" s="204" t="s">
        <v>2276</v>
      </c>
      <c r="I1232" s="204" t="s">
        <v>2276</v>
      </c>
      <c r="J1232" s="204" t="s">
        <v>2276</v>
      </c>
      <c r="K1232" s="204" t="s">
        <v>534</v>
      </c>
      <c r="L1232" s="204" t="s">
        <v>2276</v>
      </c>
      <c r="M1232" s="204" t="s">
        <v>2276</v>
      </c>
      <c r="N1232" s="204" t="s">
        <v>2276</v>
      </c>
      <c r="O1232" s="204" t="s">
        <v>2276</v>
      </c>
      <c r="P1232" s="204" t="s">
        <v>2276</v>
      </c>
      <c r="Q1232" s="204" t="s">
        <v>2276</v>
      </c>
      <c r="R1232" s="204" t="s">
        <v>2276</v>
      </c>
      <c r="S1232" s="21">
        <v>0.33</v>
      </c>
      <c r="T1232" s="204"/>
    </row>
    <row r="1233" spans="1:20" ht="29.5" customHeight="1">
      <c r="A1233" s="19" t="s">
        <v>7940</v>
      </c>
      <c r="B1233" s="204" t="s">
        <v>1197</v>
      </c>
      <c r="C1233" s="204" t="s">
        <v>2645</v>
      </c>
      <c r="D1233" s="204" t="s">
        <v>84</v>
      </c>
      <c r="E1233" s="204" t="s">
        <v>45</v>
      </c>
      <c r="F1233" s="204" t="s">
        <v>2276</v>
      </c>
      <c r="G1233" s="204" t="s">
        <v>2276</v>
      </c>
      <c r="H1233" s="204" t="s">
        <v>2276</v>
      </c>
      <c r="I1233" s="204" t="s">
        <v>2276</v>
      </c>
      <c r="J1233" s="204" t="s">
        <v>2276</v>
      </c>
      <c r="K1233" s="204" t="s">
        <v>2276</v>
      </c>
      <c r="L1233" s="204" t="s">
        <v>2276</v>
      </c>
      <c r="M1233" s="204" t="s">
        <v>2276</v>
      </c>
      <c r="N1233" s="204" t="s">
        <v>2276</v>
      </c>
      <c r="O1233" s="21">
        <v>28.65</v>
      </c>
      <c r="P1233" s="21">
        <v>28.65</v>
      </c>
      <c r="Q1233" s="204" t="s">
        <v>2276</v>
      </c>
      <c r="R1233" s="21">
        <f>100-P1233-O1233</f>
        <v>42.699999999999996</v>
      </c>
      <c r="S1233" s="204" t="s">
        <v>2276</v>
      </c>
      <c r="T1233" s="4" t="s">
        <v>7957</v>
      </c>
    </row>
    <row r="1234" spans="1:20" ht="29.5" customHeight="1">
      <c r="A1234" s="19" t="s">
        <v>7941</v>
      </c>
      <c r="B1234" s="204" t="s">
        <v>1197</v>
      </c>
      <c r="C1234" s="204" t="s">
        <v>2645</v>
      </c>
      <c r="D1234" s="204" t="s">
        <v>84</v>
      </c>
      <c r="E1234" s="204" t="s">
        <v>45</v>
      </c>
      <c r="F1234" s="204" t="s">
        <v>2276</v>
      </c>
      <c r="G1234" s="204" t="s">
        <v>2276</v>
      </c>
      <c r="H1234" s="204" t="s">
        <v>2276</v>
      </c>
      <c r="I1234" s="204" t="s">
        <v>2276</v>
      </c>
      <c r="J1234" s="204" t="s">
        <v>2276</v>
      </c>
      <c r="K1234" s="204" t="s">
        <v>2276</v>
      </c>
      <c r="L1234" s="204" t="s">
        <v>2276</v>
      </c>
      <c r="M1234" s="204" t="s">
        <v>2276</v>
      </c>
      <c r="N1234" s="204" t="s">
        <v>2276</v>
      </c>
      <c r="O1234" s="21">
        <v>19.3</v>
      </c>
      <c r="P1234" s="21">
        <v>19.3</v>
      </c>
      <c r="Q1234" s="204" t="s">
        <v>2276</v>
      </c>
      <c r="R1234" s="21">
        <f t="shared" ref="R1234:R1242" si="4">100-P1234-O1234</f>
        <v>61.400000000000006</v>
      </c>
      <c r="S1234" s="204" t="s">
        <v>2276</v>
      </c>
      <c r="T1234" s="4" t="s">
        <v>7957</v>
      </c>
    </row>
    <row r="1235" spans="1:20" ht="29.5" customHeight="1">
      <c r="A1235" s="19" t="s">
        <v>7942</v>
      </c>
      <c r="B1235" s="204" t="s">
        <v>1197</v>
      </c>
      <c r="C1235" s="204" t="s">
        <v>2645</v>
      </c>
      <c r="D1235" s="204" t="s">
        <v>84</v>
      </c>
      <c r="E1235" s="204" t="s">
        <v>45</v>
      </c>
      <c r="F1235" s="204" t="s">
        <v>2276</v>
      </c>
      <c r="G1235" s="204" t="s">
        <v>2276</v>
      </c>
      <c r="H1235" s="204" t="s">
        <v>2276</v>
      </c>
      <c r="I1235" s="204" t="s">
        <v>2276</v>
      </c>
      <c r="J1235" s="204" t="s">
        <v>2276</v>
      </c>
      <c r="K1235" s="204" t="s">
        <v>2276</v>
      </c>
      <c r="L1235" s="204" t="s">
        <v>2276</v>
      </c>
      <c r="M1235" s="204" t="s">
        <v>2276</v>
      </c>
      <c r="N1235" s="204" t="s">
        <v>2276</v>
      </c>
      <c r="O1235" s="21">
        <v>24.5</v>
      </c>
      <c r="P1235" s="21">
        <v>24.5</v>
      </c>
      <c r="Q1235" s="204" t="s">
        <v>2276</v>
      </c>
      <c r="R1235" s="21">
        <f t="shared" si="4"/>
        <v>51</v>
      </c>
      <c r="S1235" s="204" t="s">
        <v>2276</v>
      </c>
      <c r="T1235" s="4" t="s">
        <v>7957</v>
      </c>
    </row>
    <row r="1236" spans="1:20" ht="29.5" customHeight="1">
      <c r="A1236" s="19" t="s">
        <v>7943</v>
      </c>
      <c r="B1236" s="204" t="s">
        <v>1197</v>
      </c>
      <c r="C1236" s="204" t="s">
        <v>2645</v>
      </c>
      <c r="D1236" s="204" t="s">
        <v>84</v>
      </c>
      <c r="E1236" s="204" t="s">
        <v>45</v>
      </c>
      <c r="F1236" s="204" t="s">
        <v>2276</v>
      </c>
      <c r="G1236" s="204" t="s">
        <v>2276</v>
      </c>
      <c r="H1236" s="204" t="s">
        <v>2276</v>
      </c>
      <c r="I1236" s="204" t="s">
        <v>2276</v>
      </c>
      <c r="J1236" s="204" t="s">
        <v>2276</v>
      </c>
      <c r="K1236" s="204" t="s">
        <v>2276</v>
      </c>
      <c r="L1236" s="204" t="s">
        <v>2276</v>
      </c>
      <c r="M1236" s="204" t="s">
        <v>2276</v>
      </c>
      <c r="N1236" s="204" t="s">
        <v>2276</v>
      </c>
      <c r="O1236" s="21">
        <v>9.1</v>
      </c>
      <c r="P1236" s="21">
        <v>9.1</v>
      </c>
      <c r="Q1236" s="204" t="s">
        <v>2276</v>
      </c>
      <c r="R1236" s="21">
        <f t="shared" si="4"/>
        <v>81.800000000000011</v>
      </c>
      <c r="S1236" s="204" t="s">
        <v>2276</v>
      </c>
      <c r="T1236" s="4" t="s">
        <v>7957</v>
      </c>
    </row>
    <row r="1237" spans="1:20" ht="29.5" customHeight="1">
      <c r="A1237" s="19" t="s">
        <v>7944</v>
      </c>
      <c r="B1237" s="204" t="s">
        <v>1197</v>
      </c>
      <c r="C1237" s="204" t="s">
        <v>2645</v>
      </c>
      <c r="D1237" s="204" t="s">
        <v>84</v>
      </c>
      <c r="E1237" s="204" t="s">
        <v>45</v>
      </c>
      <c r="F1237" s="204" t="s">
        <v>2276</v>
      </c>
      <c r="G1237" s="204" t="s">
        <v>2276</v>
      </c>
      <c r="H1237" s="204" t="s">
        <v>2276</v>
      </c>
      <c r="I1237" s="204" t="s">
        <v>2276</v>
      </c>
      <c r="J1237" s="204" t="s">
        <v>2276</v>
      </c>
      <c r="K1237" s="204" t="s">
        <v>2276</v>
      </c>
      <c r="L1237" s="204" t="s">
        <v>2276</v>
      </c>
      <c r="M1237" s="204" t="s">
        <v>2276</v>
      </c>
      <c r="N1237" s="204" t="s">
        <v>2276</v>
      </c>
      <c r="O1237" s="21">
        <v>26.45</v>
      </c>
      <c r="P1237" s="21">
        <v>26.45</v>
      </c>
      <c r="Q1237" s="204" t="s">
        <v>2276</v>
      </c>
      <c r="R1237" s="21">
        <f t="shared" si="4"/>
        <v>47.099999999999994</v>
      </c>
      <c r="S1237" s="204" t="s">
        <v>2276</v>
      </c>
      <c r="T1237" s="4" t="s">
        <v>7957</v>
      </c>
    </row>
    <row r="1238" spans="1:20" ht="29.5" customHeight="1">
      <c r="A1238" s="19" t="s">
        <v>7946</v>
      </c>
      <c r="B1238" s="204" t="s">
        <v>32</v>
      </c>
      <c r="C1238" s="204" t="s">
        <v>2646</v>
      </c>
      <c r="D1238" s="204" t="s">
        <v>137</v>
      </c>
      <c r="E1238" s="204" t="s">
        <v>5801</v>
      </c>
      <c r="F1238" s="204" t="s">
        <v>84</v>
      </c>
      <c r="G1238" s="204" t="s">
        <v>45</v>
      </c>
      <c r="H1238" s="204" t="s">
        <v>2276</v>
      </c>
      <c r="I1238" s="204" t="s">
        <v>2276</v>
      </c>
      <c r="J1238" s="204" t="s">
        <v>2276</v>
      </c>
      <c r="K1238" s="204" t="s">
        <v>2276</v>
      </c>
      <c r="L1238" s="204" t="s">
        <v>2276</v>
      </c>
      <c r="M1238" s="204" t="s">
        <v>2276</v>
      </c>
      <c r="N1238" s="204" t="s">
        <v>2276</v>
      </c>
      <c r="O1238" s="21">
        <v>23.45</v>
      </c>
      <c r="P1238" s="21">
        <v>23.45</v>
      </c>
      <c r="Q1238" s="21">
        <f>(P1233-P1238)*2</f>
        <v>10.399999999999999</v>
      </c>
      <c r="R1238" s="21">
        <f>100-P1238-O1238-Q1238</f>
        <v>42.699999999999996</v>
      </c>
      <c r="S1238" s="204" t="s">
        <v>2276</v>
      </c>
      <c r="T1238" s="4" t="s">
        <v>7957</v>
      </c>
    </row>
    <row r="1239" spans="1:20" ht="29.5" customHeight="1">
      <c r="A1239" s="19" t="s">
        <v>7947</v>
      </c>
      <c r="B1239" s="204" t="s">
        <v>32</v>
      </c>
      <c r="C1239" s="204" t="s">
        <v>2646</v>
      </c>
      <c r="D1239" s="204" t="s">
        <v>137</v>
      </c>
      <c r="E1239" s="204" t="s">
        <v>5801</v>
      </c>
      <c r="F1239" s="204" t="s">
        <v>84</v>
      </c>
      <c r="G1239" s="204" t="s">
        <v>45</v>
      </c>
      <c r="H1239" s="204" t="s">
        <v>2276</v>
      </c>
      <c r="I1239" s="204" t="s">
        <v>2276</v>
      </c>
      <c r="J1239" s="204" t="s">
        <v>2276</v>
      </c>
      <c r="K1239" s="204" t="s">
        <v>2276</v>
      </c>
      <c r="L1239" s="204" t="s">
        <v>2276</v>
      </c>
      <c r="M1239" s="204" t="s">
        <v>2276</v>
      </c>
      <c r="N1239" s="204" t="s">
        <v>2276</v>
      </c>
      <c r="O1239" s="21">
        <v>11.9</v>
      </c>
      <c r="P1239" s="21">
        <v>11.9</v>
      </c>
      <c r="Q1239" s="21">
        <f t="shared" ref="Q1239:Q1242" si="5">(P1234-P1239)*2</f>
        <v>14.8</v>
      </c>
      <c r="R1239" s="21">
        <f t="shared" ref="R1239:R1242" si="6">100-P1239-O1239-Q1239</f>
        <v>61.399999999999991</v>
      </c>
      <c r="S1239" s="204" t="s">
        <v>2276</v>
      </c>
      <c r="T1239" s="4" t="s">
        <v>7957</v>
      </c>
    </row>
    <row r="1240" spans="1:20" ht="29.5" customHeight="1">
      <c r="A1240" s="19" t="s">
        <v>7948</v>
      </c>
      <c r="B1240" s="204" t="s">
        <v>32</v>
      </c>
      <c r="C1240" s="204" t="s">
        <v>2646</v>
      </c>
      <c r="D1240" s="204" t="s">
        <v>137</v>
      </c>
      <c r="E1240" s="204" t="s">
        <v>5801</v>
      </c>
      <c r="F1240" s="204" t="s">
        <v>84</v>
      </c>
      <c r="G1240" s="204" t="s">
        <v>45</v>
      </c>
      <c r="H1240" s="204" t="s">
        <v>2276</v>
      </c>
      <c r="I1240" s="204" t="s">
        <v>2276</v>
      </c>
      <c r="J1240" s="204" t="s">
        <v>2276</v>
      </c>
      <c r="K1240" s="204" t="s">
        <v>2276</v>
      </c>
      <c r="L1240" s="204" t="s">
        <v>2276</v>
      </c>
      <c r="M1240" s="204" t="s">
        <v>2276</v>
      </c>
      <c r="N1240" s="204" t="s">
        <v>2276</v>
      </c>
      <c r="O1240" s="21">
        <v>9.1</v>
      </c>
      <c r="P1240" s="21">
        <v>9.1</v>
      </c>
      <c r="Q1240" s="21">
        <f t="shared" si="5"/>
        <v>30.8</v>
      </c>
      <c r="R1240" s="21">
        <f t="shared" si="6"/>
        <v>51.000000000000014</v>
      </c>
      <c r="S1240" s="204" t="s">
        <v>2276</v>
      </c>
      <c r="T1240" s="4" t="s">
        <v>7957</v>
      </c>
    </row>
    <row r="1241" spans="1:20" ht="29.5" customHeight="1">
      <c r="A1241" s="19" t="s">
        <v>7949</v>
      </c>
      <c r="B1241" s="204" t="s">
        <v>32</v>
      </c>
      <c r="C1241" s="204" t="s">
        <v>2646</v>
      </c>
      <c r="D1241" s="204" t="s">
        <v>137</v>
      </c>
      <c r="E1241" s="204" t="s">
        <v>5801</v>
      </c>
      <c r="F1241" s="204" t="s">
        <v>84</v>
      </c>
      <c r="G1241" s="204" t="s">
        <v>45</v>
      </c>
      <c r="H1241" s="204" t="s">
        <v>2276</v>
      </c>
      <c r="I1241" s="204" t="s">
        <v>2276</v>
      </c>
      <c r="J1241" s="204" t="s">
        <v>2276</v>
      </c>
      <c r="K1241" s="204" t="s">
        <v>2276</v>
      </c>
      <c r="L1241" s="204" t="s">
        <v>2276</v>
      </c>
      <c r="M1241" s="204" t="s">
        <v>2276</v>
      </c>
      <c r="N1241" s="204" t="s">
        <v>2276</v>
      </c>
      <c r="O1241" s="21">
        <v>3.55</v>
      </c>
      <c r="P1241" s="21">
        <v>3.55</v>
      </c>
      <c r="Q1241" s="21">
        <f t="shared" si="5"/>
        <v>11.1</v>
      </c>
      <c r="R1241" s="21">
        <f t="shared" si="6"/>
        <v>81.800000000000011</v>
      </c>
      <c r="S1241" s="204" t="s">
        <v>2276</v>
      </c>
      <c r="T1241" s="4" t="s">
        <v>7957</v>
      </c>
    </row>
    <row r="1242" spans="1:20" ht="29.5" customHeight="1">
      <c r="A1242" s="19" t="s">
        <v>7950</v>
      </c>
      <c r="B1242" s="204" t="s">
        <v>32</v>
      </c>
      <c r="C1242" s="204" t="s">
        <v>2646</v>
      </c>
      <c r="D1242" s="204" t="s">
        <v>137</v>
      </c>
      <c r="E1242" s="204" t="s">
        <v>5801</v>
      </c>
      <c r="F1242" s="204" t="s">
        <v>84</v>
      </c>
      <c r="G1242" s="204" t="s">
        <v>45</v>
      </c>
      <c r="H1242" s="204" t="s">
        <v>2276</v>
      </c>
      <c r="I1242" s="204" t="s">
        <v>2276</v>
      </c>
      <c r="J1242" s="204" t="s">
        <v>2276</v>
      </c>
      <c r="K1242" s="204" t="s">
        <v>2276</v>
      </c>
      <c r="L1242" s="204" t="s">
        <v>2276</v>
      </c>
      <c r="M1242" s="204" t="s">
        <v>2276</v>
      </c>
      <c r="N1242" s="204" t="s">
        <v>2276</v>
      </c>
      <c r="O1242" s="21">
        <v>14.35</v>
      </c>
      <c r="P1242" s="21">
        <v>14.35</v>
      </c>
      <c r="Q1242" s="21">
        <f t="shared" si="5"/>
        <v>24.2</v>
      </c>
      <c r="R1242" s="21">
        <f t="shared" si="6"/>
        <v>47.100000000000009</v>
      </c>
      <c r="S1242" s="204" t="s">
        <v>2276</v>
      </c>
      <c r="T1242" s="4" t="s">
        <v>7957</v>
      </c>
    </row>
    <row r="1243" spans="1:20" ht="35.5" customHeight="1">
      <c r="A1243" s="19" t="s">
        <v>7976</v>
      </c>
      <c r="B1243" s="204" t="s">
        <v>1197</v>
      </c>
      <c r="C1243" s="204" t="s">
        <v>2645</v>
      </c>
      <c r="D1243" s="204" t="s">
        <v>84</v>
      </c>
      <c r="E1243" s="204" t="s">
        <v>45</v>
      </c>
      <c r="F1243" s="204" t="s">
        <v>2647</v>
      </c>
      <c r="G1243" s="204" t="s">
        <v>2276</v>
      </c>
      <c r="H1243" s="204" t="s">
        <v>2276</v>
      </c>
      <c r="I1243" s="204" t="s">
        <v>2276</v>
      </c>
      <c r="J1243" s="204" t="s">
        <v>2276</v>
      </c>
      <c r="K1243" s="204" t="s">
        <v>2276</v>
      </c>
      <c r="L1243" s="204" t="s">
        <v>2276</v>
      </c>
      <c r="M1243" s="204" t="s">
        <v>2276</v>
      </c>
      <c r="N1243" s="204" t="s">
        <v>2276</v>
      </c>
      <c r="O1243" s="204" t="s">
        <v>2276</v>
      </c>
      <c r="P1243" s="204" t="s">
        <v>2276</v>
      </c>
      <c r="Q1243" s="204" t="s">
        <v>2276</v>
      </c>
      <c r="R1243" s="204" t="s">
        <v>2276</v>
      </c>
      <c r="S1243" s="204" t="s">
        <v>2276</v>
      </c>
      <c r="T1243" s="204"/>
    </row>
    <row r="1244" spans="1:20" ht="31" customHeight="1">
      <c r="A1244" s="19" t="s">
        <v>7977</v>
      </c>
      <c r="B1244" s="204" t="s">
        <v>70</v>
      </c>
      <c r="C1244" s="204" t="s">
        <v>2645</v>
      </c>
      <c r="D1244" s="204" t="s">
        <v>84</v>
      </c>
      <c r="E1244" s="204" t="s">
        <v>2647</v>
      </c>
      <c r="F1244" s="204" t="s">
        <v>5801</v>
      </c>
      <c r="G1244" s="204" t="s">
        <v>2276</v>
      </c>
      <c r="H1244" s="204" t="s">
        <v>2276</v>
      </c>
      <c r="I1244" s="204" t="s">
        <v>2276</v>
      </c>
      <c r="J1244" s="204" t="s">
        <v>2276</v>
      </c>
      <c r="K1244" s="204" t="s">
        <v>2276</v>
      </c>
      <c r="L1244" s="204" t="s">
        <v>2276</v>
      </c>
      <c r="M1244" s="204" t="s">
        <v>2276</v>
      </c>
      <c r="N1244" s="204" t="s">
        <v>2276</v>
      </c>
      <c r="O1244" s="204" t="s">
        <v>2276</v>
      </c>
      <c r="P1244" s="204" t="s">
        <v>2276</v>
      </c>
      <c r="Q1244" s="204" t="s">
        <v>2276</v>
      </c>
      <c r="R1244" s="204" t="s">
        <v>2276</v>
      </c>
      <c r="S1244" s="204" t="s">
        <v>2276</v>
      </c>
      <c r="T1244" s="204"/>
    </row>
    <row r="1245" spans="1:20" ht="29.5" customHeight="1">
      <c r="A1245" s="19" t="s">
        <v>7991</v>
      </c>
      <c r="B1245" s="204" t="s">
        <v>70</v>
      </c>
      <c r="C1245" s="204" t="s">
        <v>2645</v>
      </c>
      <c r="D1245" s="204" t="s">
        <v>2647</v>
      </c>
      <c r="E1245" s="204" t="s">
        <v>45</v>
      </c>
      <c r="F1245" s="204" t="s">
        <v>2276</v>
      </c>
      <c r="G1245" s="204" t="s">
        <v>2276</v>
      </c>
      <c r="H1245" s="204" t="s">
        <v>2276</v>
      </c>
      <c r="I1245" s="204">
        <v>263</v>
      </c>
      <c r="J1245" s="204" t="s">
        <v>2276</v>
      </c>
      <c r="K1245" s="204" t="s">
        <v>2276</v>
      </c>
      <c r="L1245" s="204" t="s">
        <v>2276</v>
      </c>
      <c r="M1245" s="204" t="s">
        <v>2276</v>
      </c>
      <c r="N1245" s="204" t="s">
        <v>2276</v>
      </c>
      <c r="O1245" s="204" t="s">
        <v>2276</v>
      </c>
      <c r="P1245" s="204" t="s">
        <v>2276</v>
      </c>
      <c r="Q1245" s="204" t="s">
        <v>2276</v>
      </c>
      <c r="R1245" s="204" t="s">
        <v>2276</v>
      </c>
      <c r="S1245" s="204" t="s">
        <v>2276</v>
      </c>
      <c r="T1245" s="204" t="s">
        <v>7993</v>
      </c>
    </row>
    <row r="1246" spans="1:20" ht="27" customHeight="1">
      <c r="A1246" s="19" t="s">
        <v>8000</v>
      </c>
      <c r="B1246" s="204" t="s">
        <v>1197</v>
      </c>
      <c r="C1246" s="204" t="s">
        <v>2646</v>
      </c>
      <c r="D1246" s="204" t="s">
        <v>137</v>
      </c>
      <c r="E1246" s="204" t="s">
        <v>2653</v>
      </c>
      <c r="F1246" s="204" t="s">
        <v>45</v>
      </c>
      <c r="G1246" s="204" t="s">
        <v>2647</v>
      </c>
      <c r="H1246" s="204" t="s">
        <v>2276</v>
      </c>
      <c r="I1246" s="204" t="s">
        <v>2276</v>
      </c>
      <c r="J1246" s="204" t="s">
        <v>2276</v>
      </c>
      <c r="K1246" s="204" t="s">
        <v>2276</v>
      </c>
      <c r="L1246" s="204" t="s">
        <v>2276</v>
      </c>
      <c r="M1246" s="204" t="s">
        <v>2276</v>
      </c>
      <c r="N1246" s="204" t="s">
        <v>2276</v>
      </c>
      <c r="O1246" s="204" t="s">
        <v>2276</v>
      </c>
      <c r="P1246" s="204" t="s">
        <v>2276</v>
      </c>
      <c r="Q1246" s="204" t="s">
        <v>2276</v>
      </c>
      <c r="R1246" s="204" t="s">
        <v>2276</v>
      </c>
      <c r="S1246" s="204" t="s">
        <v>2276</v>
      </c>
      <c r="T1246" s="204"/>
    </row>
    <row r="1247" spans="1:20" ht="27" customHeight="1">
      <c r="A1247" s="19" t="s">
        <v>8006</v>
      </c>
      <c r="B1247" s="204" t="s">
        <v>1197</v>
      </c>
      <c r="C1247" s="204" t="s">
        <v>2646</v>
      </c>
      <c r="D1247" s="204" t="s">
        <v>137</v>
      </c>
      <c r="E1247" s="204" t="s">
        <v>2653</v>
      </c>
      <c r="F1247" s="204" t="s">
        <v>45</v>
      </c>
      <c r="G1247" s="204" t="s">
        <v>2647</v>
      </c>
      <c r="H1247" s="204" t="s">
        <v>2276</v>
      </c>
      <c r="I1247" s="204" t="s">
        <v>2276</v>
      </c>
      <c r="J1247" s="204" t="s">
        <v>2276</v>
      </c>
      <c r="K1247" s="204" t="s">
        <v>2276</v>
      </c>
      <c r="L1247" s="204" t="s">
        <v>2276</v>
      </c>
      <c r="M1247" s="204" t="s">
        <v>2276</v>
      </c>
      <c r="N1247" s="204" t="s">
        <v>2276</v>
      </c>
      <c r="O1247" s="204" t="s">
        <v>2276</v>
      </c>
      <c r="P1247" s="204" t="s">
        <v>2276</v>
      </c>
      <c r="Q1247" s="204" t="s">
        <v>2276</v>
      </c>
      <c r="R1247" s="204" t="s">
        <v>2276</v>
      </c>
      <c r="S1247" s="204" t="s">
        <v>2276</v>
      </c>
      <c r="T1247" s="204"/>
    </row>
    <row r="1248" spans="1:20" ht="27" customHeight="1">
      <c r="A1248" s="19" t="s">
        <v>8007</v>
      </c>
      <c r="B1248" s="204" t="s">
        <v>1197</v>
      </c>
      <c r="C1248" s="204" t="s">
        <v>2646</v>
      </c>
      <c r="D1248" s="204" t="s">
        <v>137</v>
      </c>
      <c r="E1248" s="204" t="s">
        <v>2653</v>
      </c>
      <c r="F1248" s="204" t="s">
        <v>45</v>
      </c>
      <c r="G1248" s="204" t="s">
        <v>2647</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35" customHeight="1">
      <c r="A1249" s="19" t="s">
        <v>8013</v>
      </c>
      <c r="B1249" s="204" t="s">
        <v>2276</v>
      </c>
      <c r="C1249" s="204" t="s">
        <v>12</v>
      </c>
      <c r="D1249" s="4" t="s">
        <v>396</v>
      </c>
      <c r="E1249" s="204" t="s">
        <v>45</v>
      </c>
      <c r="F1249" s="204" t="s">
        <v>5801</v>
      </c>
      <c r="G1249" s="204" t="s">
        <v>2653</v>
      </c>
      <c r="H1249" s="204" t="s">
        <v>2276</v>
      </c>
      <c r="I1249" s="204" t="s">
        <v>2276</v>
      </c>
      <c r="J1249" s="204" t="s">
        <v>2276</v>
      </c>
      <c r="K1249" s="204" t="s">
        <v>2276</v>
      </c>
      <c r="L1249" s="204" t="s">
        <v>2276</v>
      </c>
      <c r="M1249" s="204" t="s">
        <v>2276</v>
      </c>
      <c r="N1249" s="204" t="s">
        <v>2276</v>
      </c>
      <c r="O1249" s="204" t="s">
        <v>2276</v>
      </c>
      <c r="P1249" s="21">
        <f>100*110000/295200</f>
        <v>37.262872628726285</v>
      </c>
      <c r="Q1249" s="204" t="s">
        <v>2276</v>
      </c>
      <c r="R1249" s="21">
        <v>40</v>
      </c>
      <c r="S1249" s="204" t="s">
        <v>2276</v>
      </c>
      <c r="T1249" s="204"/>
    </row>
    <row r="1250" spans="1:20" ht="39.5" customHeight="1">
      <c r="A1250" s="19" t="s">
        <v>8019</v>
      </c>
      <c r="B1250" s="204" t="s">
        <v>1197</v>
      </c>
      <c r="C1250" s="204" t="s">
        <v>2645</v>
      </c>
      <c r="D1250" s="204" t="s">
        <v>137</v>
      </c>
      <c r="E1250" s="204" t="s">
        <v>2276</v>
      </c>
      <c r="F1250" s="204" t="s">
        <v>2276</v>
      </c>
      <c r="G1250" s="204" t="s">
        <v>2276</v>
      </c>
      <c r="H1250" s="21">
        <v>0</v>
      </c>
      <c r="I1250" s="204" t="s">
        <v>2276</v>
      </c>
      <c r="J1250" s="204" t="s">
        <v>2276</v>
      </c>
      <c r="K1250" s="204" t="s">
        <v>2276</v>
      </c>
      <c r="L1250" s="204" t="s">
        <v>2276</v>
      </c>
      <c r="M1250" s="204" t="s">
        <v>2276</v>
      </c>
      <c r="N1250" s="204" t="s">
        <v>2276</v>
      </c>
      <c r="O1250" s="204" t="s">
        <v>2276</v>
      </c>
      <c r="P1250" s="204" t="s">
        <v>2276</v>
      </c>
      <c r="Q1250" s="204" t="s">
        <v>2276</v>
      </c>
      <c r="R1250" s="204" t="s">
        <v>2276</v>
      </c>
      <c r="S1250" s="204" t="s">
        <v>2276</v>
      </c>
      <c r="T1250" s="204"/>
    </row>
    <row r="1251" spans="1:20" ht="36" customHeight="1">
      <c r="A1251" s="19" t="s">
        <v>8020</v>
      </c>
      <c r="B1251" s="204" t="s">
        <v>69</v>
      </c>
      <c r="C1251" s="204" t="s">
        <v>395</v>
      </c>
      <c r="D1251" s="204" t="s">
        <v>45</v>
      </c>
      <c r="E1251" s="204" t="s">
        <v>2276</v>
      </c>
      <c r="F1251" s="204" t="s">
        <v>2276</v>
      </c>
      <c r="G1251" s="204" t="s">
        <v>2276</v>
      </c>
      <c r="H1251" s="21">
        <v>0.39324300000000001</v>
      </c>
      <c r="I1251" s="204">
        <v>298.99299999999999</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33.5" customHeight="1">
      <c r="A1252" s="19" t="s">
        <v>8030</v>
      </c>
      <c r="B1252" s="204" t="s">
        <v>69</v>
      </c>
      <c r="C1252" s="204" t="s">
        <v>395</v>
      </c>
      <c r="D1252" s="204" t="s">
        <v>116</v>
      </c>
      <c r="E1252" s="204" t="s">
        <v>2276</v>
      </c>
      <c r="F1252" s="204" t="s">
        <v>2276</v>
      </c>
      <c r="G1252" s="204" t="s">
        <v>2276</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t="s">
        <v>8032</v>
      </c>
    </row>
    <row r="1253" spans="1:20" ht="33" customHeight="1">
      <c r="A1253" s="19" t="s">
        <v>8038</v>
      </c>
      <c r="B1253" s="204" t="s">
        <v>70</v>
      </c>
      <c r="C1253" s="204" t="s">
        <v>2645</v>
      </c>
      <c r="D1253" s="204" t="s">
        <v>2647</v>
      </c>
      <c r="E1253" s="204" t="s">
        <v>45</v>
      </c>
      <c r="F1253" s="204" t="s">
        <v>2276</v>
      </c>
      <c r="G1253" s="204" t="s">
        <v>2276</v>
      </c>
      <c r="H1253" s="204" t="s">
        <v>2276</v>
      </c>
      <c r="I1253" s="204">
        <v>500</v>
      </c>
      <c r="J1253" s="204" t="s">
        <v>2276</v>
      </c>
      <c r="K1253" s="204" t="s">
        <v>2276</v>
      </c>
      <c r="L1253" s="204" t="s">
        <v>2276</v>
      </c>
      <c r="M1253" s="204" t="s">
        <v>2276</v>
      </c>
      <c r="N1253" s="204" t="s">
        <v>2276</v>
      </c>
      <c r="O1253" s="204" t="s">
        <v>2276</v>
      </c>
      <c r="P1253" s="204" t="s">
        <v>2276</v>
      </c>
      <c r="Q1253" s="204" t="s">
        <v>2276</v>
      </c>
      <c r="R1253" s="204" t="s">
        <v>2276</v>
      </c>
      <c r="S1253" s="204" t="s">
        <v>2276</v>
      </c>
      <c r="T1253" s="204"/>
    </row>
    <row r="1254" spans="1:20" ht="33" customHeight="1">
      <c r="A1254" s="19" t="s">
        <v>8040</v>
      </c>
      <c r="B1254" s="204" t="s">
        <v>70</v>
      </c>
      <c r="C1254" s="204" t="s">
        <v>2645</v>
      </c>
      <c r="D1254" s="204" t="s">
        <v>2647</v>
      </c>
      <c r="E1254" s="204" t="s">
        <v>45</v>
      </c>
      <c r="F1254" s="204" t="s">
        <v>2276</v>
      </c>
      <c r="G1254" s="204" t="s">
        <v>2276</v>
      </c>
      <c r="H1254" s="204" t="s">
        <v>2276</v>
      </c>
      <c r="I1254" s="204">
        <v>500</v>
      </c>
      <c r="J1254" s="204" t="s">
        <v>2276</v>
      </c>
      <c r="K1254" s="204" t="s">
        <v>2276</v>
      </c>
      <c r="L1254" s="204" t="s">
        <v>2276</v>
      </c>
      <c r="M1254" s="204" t="s">
        <v>2276</v>
      </c>
      <c r="N1254" s="204" t="s">
        <v>2276</v>
      </c>
      <c r="O1254" s="204" t="s">
        <v>2276</v>
      </c>
      <c r="P1254" s="204" t="s">
        <v>2276</v>
      </c>
      <c r="Q1254" s="204" t="s">
        <v>2276</v>
      </c>
      <c r="R1254" s="204" t="s">
        <v>2276</v>
      </c>
      <c r="S1254" s="204" t="s">
        <v>2276</v>
      </c>
      <c r="T1254" s="204"/>
    </row>
    <row r="1255" spans="1:20" ht="33.5" customHeight="1">
      <c r="A1255" s="19" t="s">
        <v>8056</v>
      </c>
      <c r="B1255" s="204" t="s">
        <v>70</v>
      </c>
      <c r="C1255" s="204" t="s">
        <v>12</v>
      </c>
      <c r="D1255" s="204" t="s">
        <v>45</v>
      </c>
      <c r="E1255" s="204" t="s">
        <v>863</v>
      </c>
      <c r="F1255" s="204" t="s">
        <v>2276</v>
      </c>
      <c r="G1255" s="204" t="s">
        <v>2276</v>
      </c>
      <c r="H1255" s="204" t="s">
        <v>2276</v>
      </c>
      <c r="I1255" s="21">
        <f>49190/30/0.263</f>
        <v>6234.4740177439799</v>
      </c>
      <c r="J1255" s="204" t="s">
        <v>2276</v>
      </c>
      <c r="K1255" s="204" t="s">
        <v>534</v>
      </c>
      <c r="L1255" s="204" t="s">
        <v>2276</v>
      </c>
      <c r="M1255" s="204" t="s">
        <v>2276</v>
      </c>
      <c r="N1255" s="204" t="s">
        <v>2276</v>
      </c>
      <c r="O1255" s="21">
        <v>26.3</v>
      </c>
      <c r="P1255" s="204" t="s">
        <v>2276</v>
      </c>
      <c r="Q1255" s="204" t="s">
        <v>2276</v>
      </c>
      <c r="R1255" s="21">
        <v>73.7</v>
      </c>
      <c r="S1255" s="21">
        <v>1.7</v>
      </c>
      <c r="T1255" s="204"/>
    </row>
    <row r="1256" spans="1:20" ht="35.5" customHeight="1">
      <c r="A1256" s="19" t="s">
        <v>8063</v>
      </c>
      <c r="B1256" s="204" t="s">
        <v>32</v>
      </c>
      <c r="C1256" s="204" t="s">
        <v>2645</v>
      </c>
      <c r="D1256" s="204" t="s">
        <v>137</v>
      </c>
      <c r="E1256" s="204" t="s">
        <v>2276</v>
      </c>
      <c r="F1256" s="204" t="s">
        <v>2276</v>
      </c>
      <c r="G1256" s="204" t="s">
        <v>2276</v>
      </c>
      <c r="H1256" s="204" t="s">
        <v>2276</v>
      </c>
      <c r="I1256" s="204" t="s">
        <v>2276</v>
      </c>
      <c r="J1256" s="204" t="s">
        <v>2276</v>
      </c>
      <c r="K1256" s="204" t="s">
        <v>2276</v>
      </c>
      <c r="L1256" s="204" t="s">
        <v>2276</v>
      </c>
      <c r="M1256" s="204" t="s">
        <v>2276</v>
      </c>
      <c r="N1256" s="204" t="s">
        <v>2276</v>
      </c>
      <c r="O1256" s="204" t="s">
        <v>2276</v>
      </c>
      <c r="P1256" s="204" t="s">
        <v>2276</v>
      </c>
      <c r="Q1256" s="204" t="s">
        <v>2276</v>
      </c>
      <c r="R1256" s="204" t="s">
        <v>2276</v>
      </c>
      <c r="S1256" s="204" t="s">
        <v>2276</v>
      </c>
      <c r="T1256" s="204"/>
    </row>
    <row r="1257" spans="1:20" ht="33.5" customHeight="1">
      <c r="A1257" s="55" t="s">
        <v>8069</v>
      </c>
      <c r="B1257" s="38" t="s">
        <v>2276</v>
      </c>
      <c r="C1257" s="38" t="s">
        <v>12</v>
      </c>
      <c r="D1257" s="38" t="s">
        <v>45</v>
      </c>
      <c r="E1257" s="38" t="s">
        <v>2647</v>
      </c>
      <c r="F1257" s="38" t="s">
        <v>2276</v>
      </c>
      <c r="G1257" s="38" t="s">
        <v>2276</v>
      </c>
      <c r="H1257" s="38" t="s">
        <v>2276</v>
      </c>
      <c r="I1257" s="203">
        <f>(25*236+20*24)/45</f>
        <v>141.77777777777777</v>
      </c>
      <c r="J1257" s="38" t="s">
        <v>2276</v>
      </c>
      <c r="K1257" s="38" t="s">
        <v>2276</v>
      </c>
      <c r="L1257" s="38" t="s">
        <v>2276</v>
      </c>
      <c r="M1257" s="38" t="s">
        <v>2276</v>
      </c>
      <c r="N1257" s="38" t="s">
        <v>2276</v>
      </c>
      <c r="O1257" s="38" t="s">
        <v>2276</v>
      </c>
      <c r="P1257" s="38" t="s">
        <v>2276</v>
      </c>
      <c r="Q1257" s="38" t="s">
        <v>2276</v>
      </c>
      <c r="R1257" s="38" t="s">
        <v>2276</v>
      </c>
      <c r="S1257" s="38" t="s">
        <v>2276</v>
      </c>
      <c r="T1257" s="38"/>
    </row>
    <row r="1258" spans="1:20" ht="33" customHeight="1">
      <c r="A1258" s="19" t="s">
        <v>8076</v>
      </c>
      <c r="B1258" s="204" t="s">
        <v>70</v>
      </c>
      <c r="C1258" s="204" t="s">
        <v>12</v>
      </c>
      <c r="D1258" s="204" t="s">
        <v>45</v>
      </c>
      <c r="E1258" s="4" t="s">
        <v>3855</v>
      </c>
      <c r="F1258" s="204" t="s">
        <v>5801</v>
      </c>
      <c r="G1258" s="204" t="s">
        <v>2276</v>
      </c>
      <c r="H1258" s="21">
        <f>(0.15*165+36)/32.7</f>
        <v>1.8577981651376145</v>
      </c>
      <c r="I1258" s="204">
        <v>32.700000000000003</v>
      </c>
      <c r="J1258" s="204" t="s">
        <v>2276</v>
      </c>
      <c r="K1258" s="204" t="s">
        <v>2276</v>
      </c>
      <c r="L1258" s="204" t="s">
        <v>2276</v>
      </c>
      <c r="M1258" s="204" t="s">
        <v>2276</v>
      </c>
      <c r="N1258" s="204" t="s">
        <v>2276</v>
      </c>
      <c r="O1258" s="21">
        <f>(32.7*24)/125</f>
        <v>6.2784000000000004</v>
      </c>
      <c r="P1258" s="204" t="s">
        <v>2276</v>
      </c>
      <c r="Q1258" s="204" t="s">
        <v>2276</v>
      </c>
      <c r="R1258" s="204" t="s">
        <v>2276</v>
      </c>
      <c r="S1258" s="204" t="s">
        <v>2276</v>
      </c>
      <c r="T1258" s="204"/>
    </row>
    <row r="1259" spans="1:20" ht="49.5" customHeight="1">
      <c r="A1259" s="19" t="s">
        <v>8082</v>
      </c>
      <c r="B1259" s="204" t="s">
        <v>2276</v>
      </c>
      <c r="C1259" s="204" t="s">
        <v>395</v>
      </c>
      <c r="D1259" s="204" t="s">
        <v>5005</v>
      </c>
      <c r="E1259" s="4" t="s">
        <v>397</v>
      </c>
      <c r="F1259" s="4" t="s">
        <v>3854</v>
      </c>
      <c r="G1259" s="204" t="s">
        <v>2276</v>
      </c>
      <c r="H1259" s="204" t="s">
        <v>2276</v>
      </c>
      <c r="I1259" s="204" t="s">
        <v>2276</v>
      </c>
      <c r="J1259" s="204" t="s">
        <v>2276</v>
      </c>
      <c r="K1259" s="204" t="s">
        <v>534</v>
      </c>
      <c r="L1259" s="204" t="s">
        <v>2276</v>
      </c>
      <c r="M1259" s="204" t="s">
        <v>2276</v>
      </c>
      <c r="N1259" s="204" t="s">
        <v>2276</v>
      </c>
      <c r="O1259" s="204" t="s">
        <v>2276</v>
      </c>
      <c r="P1259" s="204" t="s">
        <v>2276</v>
      </c>
      <c r="Q1259" s="204" t="s">
        <v>2276</v>
      </c>
      <c r="R1259" s="204" t="s">
        <v>2276</v>
      </c>
      <c r="S1259" s="204" t="s">
        <v>2276</v>
      </c>
      <c r="T1259" s="204"/>
    </row>
    <row r="1260" spans="1:20" ht="50" customHeight="1">
      <c r="A1260" s="19" t="s">
        <v>8085</v>
      </c>
      <c r="B1260" s="204" t="s">
        <v>2276</v>
      </c>
      <c r="C1260" s="204" t="s">
        <v>12</v>
      </c>
      <c r="D1260" s="204" t="s">
        <v>5801</v>
      </c>
      <c r="E1260" s="204" t="s">
        <v>5005</v>
      </c>
      <c r="F1260" s="4" t="s">
        <v>397</v>
      </c>
      <c r="G1260" s="4" t="s">
        <v>3854</v>
      </c>
      <c r="H1260" s="204" t="s">
        <v>2276</v>
      </c>
      <c r="I1260" s="204" t="s">
        <v>2276</v>
      </c>
      <c r="J1260" s="204" t="s">
        <v>2276</v>
      </c>
      <c r="K1260" s="204" t="s">
        <v>534</v>
      </c>
      <c r="L1260" s="204" t="s">
        <v>2276</v>
      </c>
      <c r="M1260" s="204" t="s">
        <v>2276</v>
      </c>
      <c r="N1260" s="204" t="s">
        <v>2276</v>
      </c>
      <c r="O1260" s="204" t="s">
        <v>2276</v>
      </c>
      <c r="P1260" s="204" t="s">
        <v>2276</v>
      </c>
      <c r="Q1260" s="204" t="s">
        <v>2276</v>
      </c>
      <c r="R1260" s="204" t="s">
        <v>2276</v>
      </c>
      <c r="S1260" s="204" t="s">
        <v>2276</v>
      </c>
      <c r="T1260" s="204" t="s">
        <v>8087</v>
      </c>
    </row>
    <row r="1261" spans="1:20" ht="53.5" customHeight="1">
      <c r="A1261" s="19" t="s">
        <v>8095</v>
      </c>
      <c r="B1261" s="204" t="s">
        <v>70</v>
      </c>
      <c r="C1261" s="204" t="s">
        <v>12</v>
      </c>
      <c r="D1261" s="4" t="s">
        <v>3854</v>
      </c>
      <c r="E1261" s="4" t="s">
        <v>3855</v>
      </c>
      <c r="F1261" s="204" t="s">
        <v>45</v>
      </c>
      <c r="G1261" s="204" t="s">
        <v>2276</v>
      </c>
      <c r="H1261" s="21">
        <v>0.5</v>
      </c>
      <c r="I1261" s="204" t="s">
        <v>2276</v>
      </c>
      <c r="J1261" s="204" t="s">
        <v>2276</v>
      </c>
      <c r="K1261" s="204" t="s">
        <v>2276</v>
      </c>
      <c r="L1261" s="204" t="s">
        <v>2276</v>
      </c>
      <c r="M1261" s="204" t="s">
        <v>2276</v>
      </c>
      <c r="N1261" s="204" t="s">
        <v>2276</v>
      </c>
      <c r="O1261" s="204" t="s">
        <v>2276</v>
      </c>
      <c r="P1261" s="204" t="s">
        <v>2276</v>
      </c>
      <c r="Q1261" s="204" t="s">
        <v>2276</v>
      </c>
      <c r="R1261" s="204" t="s">
        <v>2276</v>
      </c>
      <c r="S1261" s="204" t="s">
        <v>2276</v>
      </c>
      <c r="T1261" s="204"/>
    </row>
    <row r="1262" spans="1:20" ht="39.5" customHeight="1">
      <c r="A1262" s="19" t="s">
        <v>8104</v>
      </c>
      <c r="B1262" s="4" t="s">
        <v>1197</v>
      </c>
      <c r="C1262" s="204" t="s">
        <v>12</v>
      </c>
      <c r="D1262" s="204" t="s">
        <v>137</v>
      </c>
      <c r="E1262" s="204" t="s">
        <v>45</v>
      </c>
      <c r="F1262" s="4" t="s">
        <v>396</v>
      </c>
      <c r="G1262" s="176" t="s">
        <v>5801</v>
      </c>
      <c r="H1262" s="204" t="s">
        <v>2276</v>
      </c>
      <c r="I1262" s="204" t="s">
        <v>2276</v>
      </c>
      <c r="J1262" s="204" t="s">
        <v>2276</v>
      </c>
      <c r="K1262" s="204" t="s">
        <v>2276</v>
      </c>
      <c r="L1262" s="204" t="s">
        <v>2276</v>
      </c>
      <c r="M1262" s="204" t="s">
        <v>2276</v>
      </c>
      <c r="N1262" s="204" t="s">
        <v>2276</v>
      </c>
      <c r="O1262" s="204" t="s">
        <v>2276</v>
      </c>
      <c r="P1262" s="204" t="s">
        <v>2276</v>
      </c>
      <c r="Q1262" s="204" t="s">
        <v>2276</v>
      </c>
      <c r="R1262" s="204" t="s">
        <v>2276</v>
      </c>
      <c r="S1262" s="204" t="s">
        <v>2276</v>
      </c>
      <c r="T1262" s="204" t="s">
        <v>8107</v>
      </c>
    </row>
    <row r="1263" spans="1:20" ht="32.5" customHeight="1">
      <c r="A1263" s="19" t="s">
        <v>8115</v>
      </c>
      <c r="B1263" s="4" t="s">
        <v>1197</v>
      </c>
      <c r="C1263" s="204" t="s">
        <v>12</v>
      </c>
      <c r="D1263" s="4" t="s">
        <v>396</v>
      </c>
      <c r="E1263" s="204" t="s">
        <v>2653</v>
      </c>
      <c r="F1263" s="204" t="s">
        <v>45</v>
      </c>
      <c r="G1263" s="204" t="s">
        <v>2276</v>
      </c>
      <c r="H1263" s="204" t="s">
        <v>2276</v>
      </c>
      <c r="I1263" s="204" t="s">
        <v>2276</v>
      </c>
      <c r="J1263" s="204" t="s">
        <v>2276</v>
      </c>
      <c r="K1263" s="204" t="s">
        <v>2276</v>
      </c>
      <c r="L1263" s="204" t="s">
        <v>2276</v>
      </c>
      <c r="M1263" s="204" t="s">
        <v>2276</v>
      </c>
      <c r="N1263" s="204" t="s">
        <v>2276</v>
      </c>
      <c r="O1263" s="204" t="s">
        <v>2276</v>
      </c>
      <c r="P1263" s="204" t="s">
        <v>2276</v>
      </c>
      <c r="Q1263" s="204" t="s">
        <v>2276</v>
      </c>
      <c r="R1263" s="21">
        <f>27884/'Record info'!K1263</f>
        <v>38.81511177928116</v>
      </c>
      <c r="S1263" s="204" t="s">
        <v>2276</v>
      </c>
      <c r="T1263" s="204"/>
    </row>
    <row r="1264" spans="1:20" ht="32.5" customHeight="1">
      <c r="A1264" s="19" t="s">
        <v>8122</v>
      </c>
      <c r="B1264" s="4" t="s">
        <v>1197</v>
      </c>
      <c r="C1264" s="204" t="s">
        <v>12</v>
      </c>
      <c r="D1264" s="204" t="s">
        <v>45</v>
      </c>
      <c r="E1264" s="204" t="s">
        <v>137</v>
      </c>
      <c r="F1264" s="4" t="s">
        <v>396</v>
      </c>
      <c r="G1264" s="204" t="s">
        <v>2276</v>
      </c>
      <c r="H1264" s="204" t="s">
        <v>2276</v>
      </c>
      <c r="I1264" s="204" t="s">
        <v>2276</v>
      </c>
      <c r="J1264" s="204" t="s">
        <v>2276</v>
      </c>
      <c r="K1264" s="204" t="s">
        <v>2276</v>
      </c>
      <c r="L1264" s="204" t="s">
        <v>2276</v>
      </c>
      <c r="M1264" s="204" t="s">
        <v>2276</v>
      </c>
      <c r="N1264" s="204" t="s">
        <v>2276</v>
      </c>
      <c r="O1264" s="204" t="s">
        <v>2276</v>
      </c>
      <c r="P1264" s="204" t="s">
        <v>2276</v>
      </c>
      <c r="Q1264" s="204" t="s">
        <v>2276</v>
      </c>
      <c r="R1264" s="21">
        <f>50640/'Record info'!K1264</f>
        <v>19.328244274809162</v>
      </c>
      <c r="S1264" s="204" t="s">
        <v>2276</v>
      </c>
      <c r="T1264" s="204"/>
    </row>
    <row r="1265" spans="1:20" ht="32.5" customHeight="1">
      <c r="A1265" s="19" t="s">
        <v>8123</v>
      </c>
      <c r="B1265" s="204" t="s">
        <v>32</v>
      </c>
      <c r="C1265" s="204" t="s">
        <v>12</v>
      </c>
      <c r="D1265" s="204" t="s">
        <v>45</v>
      </c>
      <c r="E1265" s="204" t="s">
        <v>137</v>
      </c>
      <c r="F1265" s="204" t="s">
        <v>2653</v>
      </c>
      <c r="G1265" s="4" t="s">
        <v>396</v>
      </c>
      <c r="H1265" s="204" t="s">
        <v>2276</v>
      </c>
      <c r="I1265" s="204" t="s">
        <v>2276</v>
      </c>
      <c r="J1265" s="204" t="s">
        <v>2276</v>
      </c>
      <c r="K1265" s="204" t="s">
        <v>2276</v>
      </c>
      <c r="L1265" s="204" t="s">
        <v>2276</v>
      </c>
      <c r="M1265" s="204" t="s">
        <v>2276</v>
      </c>
      <c r="N1265" s="204" t="s">
        <v>2276</v>
      </c>
      <c r="O1265" s="204" t="s">
        <v>2276</v>
      </c>
      <c r="P1265" s="204" t="s">
        <v>2276</v>
      </c>
      <c r="Q1265" s="204" t="s">
        <v>2276</v>
      </c>
      <c r="R1265" s="21">
        <f>24975/'Record info'!K1265</f>
        <v>4.8605475341114097</v>
      </c>
      <c r="S1265" s="204" t="s">
        <v>2276</v>
      </c>
      <c r="T1265" s="204"/>
    </row>
    <row r="1266" spans="1:20" ht="32.5" customHeight="1">
      <c r="A1266" s="19" t="s">
        <v>8124</v>
      </c>
      <c r="B1266" s="204" t="s">
        <v>32</v>
      </c>
      <c r="C1266" s="204" t="s">
        <v>12</v>
      </c>
      <c r="D1266" s="204" t="s">
        <v>137</v>
      </c>
      <c r="E1266" s="4" t="s">
        <v>396</v>
      </c>
      <c r="F1266" s="204" t="s">
        <v>2276</v>
      </c>
      <c r="G1266" s="204" t="s">
        <v>2276</v>
      </c>
      <c r="H1266" s="204" t="s">
        <v>2276</v>
      </c>
      <c r="I1266" s="204" t="s">
        <v>2276</v>
      </c>
      <c r="J1266" s="204" t="s">
        <v>2276</v>
      </c>
      <c r="K1266" s="204" t="s">
        <v>2276</v>
      </c>
      <c r="L1266" s="204" t="s">
        <v>2276</v>
      </c>
      <c r="M1266" s="204" t="s">
        <v>2276</v>
      </c>
      <c r="N1266" s="204" t="s">
        <v>2276</v>
      </c>
      <c r="O1266" s="204" t="s">
        <v>2276</v>
      </c>
      <c r="P1266" s="204" t="s">
        <v>2276</v>
      </c>
      <c r="Q1266" s="204" t="s">
        <v>2276</v>
      </c>
      <c r="R1266" s="21">
        <f>270000/'Record info'!K1266</f>
        <v>27.014560848297229</v>
      </c>
      <c r="S1266" s="204" t="s">
        <v>2276</v>
      </c>
      <c r="T1266" s="204"/>
    </row>
    <row r="1267" spans="1:20" ht="32.5" customHeight="1">
      <c r="A1267" s="19" t="s">
        <v>8158</v>
      </c>
      <c r="B1267" s="204" t="s">
        <v>69</v>
      </c>
      <c r="C1267" s="204" t="s">
        <v>395</v>
      </c>
      <c r="D1267" s="204" t="s">
        <v>116</v>
      </c>
      <c r="E1267" s="204" t="s">
        <v>2276</v>
      </c>
      <c r="F1267" s="204" t="s">
        <v>2276</v>
      </c>
      <c r="G1267" s="204" t="s">
        <v>2276</v>
      </c>
      <c r="H1267" s="204" t="s">
        <v>2276</v>
      </c>
      <c r="I1267" s="204" t="s">
        <v>2276</v>
      </c>
      <c r="J1267" s="204" t="s">
        <v>2276</v>
      </c>
      <c r="K1267" s="204" t="s">
        <v>2276</v>
      </c>
      <c r="L1267" s="204" t="s">
        <v>2276</v>
      </c>
      <c r="M1267" s="204" t="s">
        <v>2276</v>
      </c>
      <c r="N1267" s="204" t="s">
        <v>2276</v>
      </c>
      <c r="O1267" s="204" t="s">
        <v>2276</v>
      </c>
      <c r="P1267" s="204" t="s">
        <v>2276</v>
      </c>
      <c r="Q1267" s="204" t="s">
        <v>2276</v>
      </c>
      <c r="R1267" s="204" t="s">
        <v>2276</v>
      </c>
      <c r="S1267" s="204" t="s">
        <v>2276</v>
      </c>
      <c r="T1267" s="204"/>
    </row>
    <row r="1268" spans="1:20" ht="33.5" customHeight="1">
      <c r="A1268" s="19" t="s">
        <v>8167</v>
      </c>
      <c r="B1268" s="204" t="s">
        <v>69</v>
      </c>
      <c r="C1268" s="204" t="s">
        <v>395</v>
      </c>
      <c r="D1268" s="204" t="s">
        <v>130</v>
      </c>
      <c r="E1268" s="204" t="s">
        <v>116</v>
      </c>
      <c r="F1268" s="204" t="s">
        <v>45</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04" t="s">
        <v>2276</v>
      </c>
      <c r="S1268" s="204" t="s">
        <v>2276</v>
      </c>
      <c r="T1268" s="204"/>
    </row>
    <row r="1269" spans="1:20" ht="33.5" customHeight="1">
      <c r="A1269" s="19" t="s">
        <v>8168</v>
      </c>
      <c r="B1269" s="204" t="s">
        <v>69</v>
      </c>
      <c r="C1269" s="204" t="s">
        <v>395</v>
      </c>
      <c r="D1269" s="204" t="s">
        <v>130</v>
      </c>
      <c r="E1269" s="204" t="s">
        <v>116</v>
      </c>
      <c r="F1269" s="204" t="s">
        <v>45</v>
      </c>
      <c r="G1269" s="204" t="s">
        <v>2276</v>
      </c>
      <c r="H1269" s="204" t="s">
        <v>2276</v>
      </c>
      <c r="I1269" s="204" t="s">
        <v>2276</v>
      </c>
      <c r="J1269" s="204" t="s">
        <v>2276</v>
      </c>
      <c r="K1269" s="204" t="s">
        <v>2276</v>
      </c>
      <c r="L1269" s="204" t="s">
        <v>2276</v>
      </c>
      <c r="M1269" s="204" t="s">
        <v>2276</v>
      </c>
      <c r="N1269" s="204" t="s">
        <v>2276</v>
      </c>
      <c r="O1269" s="204" t="s">
        <v>2276</v>
      </c>
      <c r="P1269" s="204" t="s">
        <v>2276</v>
      </c>
      <c r="Q1269" s="204" t="s">
        <v>2276</v>
      </c>
      <c r="R1269" s="204" t="s">
        <v>2276</v>
      </c>
      <c r="S1269" s="204" t="s">
        <v>2276</v>
      </c>
      <c r="T1269" s="204"/>
    </row>
    <row r="1270" spans="1:20" ht="32.5" customHeight="1">
      <c r="A1270" s="19" t="s">
        <v>8191</v>
      </c>
      <c r="B1270" s="204" t="s">
        <v>2276</v>
      </c>
      <c r="C1270" s="204" t="s">
        <v>2646</v>
      </c>
      <c r="D1270" s="204" t="s">
        <v>137</v>
      </c>
      <c r="E1270" s="204" t="s">
        <v>2653</v>
      </c>
      <c r="F1270" s="204" t="s">
        <v>2276</v>
      </c>
      <c r="G1270" s="204" t="s">
        <v>2276</v>
      </c>
      <c r="H1270" s="204" t="s">
        <v>2276</v>
      </c>
      <c r="I1270" s="204" t="s">
        <v>2276</v>
      </c>
      <c r="J1270" s="204" t="s">
        <v>2276</v>
      </c>
      <c r="K1270" s="204" t="s">
        <v>2276</v>
      </c>
      <c r="L1270" s="204" t="s">
        <v>2276</v>
      </c>
      <c r="M1270" s="204" t="s">
        <v>2276</v>
      </c>
      <c r="N1270" s="204" t="s">
        <v>2276</v>
      </c>
      <c r="O1270" s="204" t="s">
        <v>2276</v>
      </c>
      <c r="P1270" s="204" t="s">
        <v>2276</v>
      </c>
      <c r="Q1270" s="204" t="s">
        <v>2276</v>
      </c>
      <c r="R1270" s="204" t="s">
        <v>2276</v>
      </c>
      <c r="S1270" s="204" t="s">
        <v>2276</v>
      </c>
      <c r="T1270" s="204"/>
    </row>
    <row r="1271" spans="1:20" ht="27" customHeight="1">
      <c r="A1271" s="19" t="s">
        <v>8202</v>
      </c>
      <c r="B1271" s="204" t="s">
        <v>32</v>
      </c>
      <c r="C1271" s="204" t="s">
        <v>2645</v>
      </c>
      <c r="D1271" s="204" t="s">
        <v>137</v>
      </c>
      <c r="E1271" s="204" t="s">
        <v>2652</v>
      </c>
      <c r="F1271" s="204" t="s">
        <v>2649</v>
      </c>
      <c r="G1271" s="204" t="s">
        <v>2276</v>
      </c>
      <c r="H1271" s="204" t="s">
        <v>2276</v>
      </c>
      <c r="I1271" s="204" t="s">
        <v>2276</v>
      </c>
      <c r="J1271" s="204" t="s">
        <v>2276</v>
      </c>
      <c r="K1271" s="204" t="s">
        <v>534</v>
      </c>
      <c r="L1271" s="204" t="s">
        <v>2276</v>
      </c>
      <c r="M1271" s="204" t="s">
        <v>2276</v>
      </c>
      <c r="N1271" s="204" t="s">
        <v>2276</v>
      </c>
      <c r="O1271" s="204" t="s">
        <v>2276</v>
      </c>
      <c r="P1271" s="204" t="s">
        <v>2276</v>
      </c>
      <c r="Q1271" s="204" t="s">
        <v>2276</v>
      </c>
      <c r="R1271" s="204" t="s">
        <v>2276</v>
      </c>
      <c r="S1271" s="204" t="s">
        <v>2276</v>
      </c>
      <c r="T1271" s="204"/>
    </row>
    <row r="1272" spans="1:20" ht="27" customHeight="1">
      <c r="A1272" s="19" t="s">
        <v>8208</v>
      </c>
      <c r="B1272" s="204" t="s">
        <v>32</v>
      </c>
      <c r="C1272" s="204" t="s">
        <v>2645</v>
      </c>
      <c r="D1272" s="204" t="s">
        <v>137</v>
      </c>
      <c r="E1272" s="204" t="s">
        <v>2652</v>
      </c>
      <c r="F1272" s="204" t="s">
        <v>2649</v>
      </c>
      <c r="G1272" s="204" t="s">
        <v>2276</v>
      </c>
      <c r="H1272" s="204" t="s">
        <v>2276</v>
      </c>
      <c r="I1272" s="204" t="s">
        <v>2276</v>
      </c>
      <c r="J1272" s="204" t="s">
        <v>2276</v>
      </c>
      <c r="K1272" s="204" t="s">
        <v>534</v>
      </c>
      <c r="L1272" s="204" t="s">
        <v>2276</v>
      </c>
      <c r="M1272" s="204" t="s">
        <v>2276</v>
      </c>
      <c r="N1272" s="204" t="s">
        <v>2276</v>
      </c>
      <c r="O1272" s="204" t="s">
        <v>2276</v>
      </c>
      <c r="P1272" s="204" t="s">
        <v>2276</v>
      </c>
      <c r="Q1272" s="204" t="s">
        <v>2276</v>
      </c>
      <c r="R1272" s="204" t="s">
        <v>2276</v>
      </c>
      <c r="S1272" s="204" t="s">
        <v>2276</v>
      </c>
      <c r="T1272" s="204"/>
    </row>
    <row r="1273" spans="1:20" ht="27" customHeight="1">
      <c r="A1273" s="19" t="s">
        <v>8209</v>
      </c>
      <c r="B1273" s="204" t="s">
        <v>32</v>
      </c>
      <c r="C1273" s="204" t="s">
        <v>2645</v>
      </c>
      <c r="D1273" s="204" t="s">
        <v>137</v>
      </c>
      <c r="E1273" s="204" t="s">
        <v>2652</v>
      </c>
      <c r="F1273" s="204" t="s">
        <v>2649</v>
      </c>
      <c r="G1273" s="204" t="s">
        <v>2276</v>
      </c>
      <c r="H1273" s="204" t="s">
        <v>2276</v>
      </c>
      <c r="I1273" s="204" t="s">
        <v>2276</v>
      </c>
      <c r="J1273" s="204" t="s">
        <v>2276</v>
      </c>
      <c r="K1273" s="204" t="s">
        <v>534</v>
      </c>
      <c r="L1273" s="204" t="s">
        <v>2276</v>
      </c>
      <c r="M1273" s="204" t="s">
        <v>2276</v>
      </c>
      <c r="N1273" s="204" t="s">
        <v>2276</v>
      </c>
      <c r="O1273" s="204" t="s">
        <v>2276</v>
      </c>
      <c r="P1273" s="204" t="s">
        <v>2276</v>
      </c>
      <c r="Q1273" s="204" t="s">
        <v>2276</v>
      </c>
      <c r="R1273" s="204" t="s">
        <v>2276</v>
      </c>
      <c r="S1273" s="204" t="s">
        <v>2276</v>
      </c>
      <c r="T1273" s="204"/>
    </row>
    <row r="1274" spans="1:20" ht="27" customHeight="1">
      <c r="A1274" s="19" t="s">
        <v>8210</v>
      </c>
      <c r="B1274" s="204" t="s">
        <v>32</v>
      </c>
      <c r="C1274" s="204" t="s">
        <v>2645</v>
      </c>
      <c r="D1274" s="204" t="s">
        <v>137</v>
      </c>
      <c r="E1274" s="204" t="s">
        <v>2652</v>
      </c>
      <c r="F1274" s="204" t="s">
        <v>2649</v>
      </c>
      <c r="G1274" s="204" t="s">
        <v>2276</v>
      </c>
      <c r="H1274" s="204" t="s">
        <v>2276</v>
      </c>
      <c r="I1274" s="204" t="s">
        <v>2276</v>
      </c>
      <c r="J1274" s="204" t="s">
        <v>2276</v>
      </c>
      <c r="K1274" s="204" t="s">
        <v>534</v>
      </c>
      <c r="L1274" s="204" t="s">
        <v>2276</v>
      </c>
      <c r="M1274" s="204" t="s">
        <v>2276</v>
      </c>
      <c r="N1274" s="204" t="s">
        <v>2276</v>
      </c>
      <c r="O1274" s="204" t="s">
        <v>2276</v>
      </c>
      <c r="P1274" s="204" t="s">
        <v>2276</v>
      </c>
      <c r="Q1274" s="204" t="s">
        <v>2276</v>
      </c>
      <c r="R1274" s="204" t="s">
        <v>2276</v>
      </c>
      <c r="S1274" s="204" t="s">
        <v>2276</v>
      </c>
      <c r="T1274" s="204"/>
    </row>
    <row r="1275" spans="1:20" ht="27" customHeight="1">
      <c r="A1275" s="19" t="s">
        <v>8217</v>
      </c>
      <c r="B1275" s="204" t="s">
        <v>32</v>
      </c>
      <c r="C1275" s="204" t="s">
        <v>2645</v>
      </c>
      <c r="D1275" s="204" t="s">
        <v>137</v>
      </c>
      <c r="E1275" s="204" t="s">
        <v>2652</v>
      </c>
      <c r="F1275" s="204" t="s">
        <v>2649</v>
      </c>
      <c r="G1275" s="204" t="s">
        <v>2276</v>
      </c>
      <c r="H1275" s="204" t="s">
        <v>2276</v>
      </c>
      <c r="I1275" s="204" t="s">
        <v>2276</v>
      </c>
      <c r="J1275" s="204" t="s">
        <v>2276</v>
      </c>
      <c r="K1275" s="204" t="s">
        <v>534</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8218</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8219</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8236</v>
      </c>
      <c r="B1278" s="204" t="s">
        <v>32</v>
      </c>
      <c r="C1278" s="204" t="s">
        <v>2646</v>
      </c>
      <c r="D1278" s="204" t="s">
        <v>2652</v>
      </c>
      <c r="E1278" s="204" t="s">
        <v>116</v>
      </c>
      <c r="F1278" s="204" t="s">
        <v>2276</v>
      </c>
      <c r="G1278" s="204" t="s">
        <v>2276</v>
      </c>
      <c r="H1278" s="204" t="s">
        <v>2276</v>
      </c>
      <c r="I1278" s="204" t="s">
        <v>2276</v>
      </c>
      <c r="J1278" s="204" t="s">
        <v>2276</v>
      </c>
      <c r="K1278" s="204" t="s">
        <v>2276</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8240</v>
      </c>
      <c r="B1279" s="204" t="s">
        <v>32</v>
      </c>
      <c r="C1279" s="204" t="s">
        <v>2646</v>
      </c>
      <c r="D1279" s="204" t="s">
        <v>2652</v>
      </c>
      <c r="E1279" s="204" t="s">
        <v>116</v>
      </c>
      <c r="F1279" s="204" t="s">
        <v>2276</v>
      </c>
      <c r="G1279" s="204" t="s">
        <v>2276</v>
      </c>
      <c r="H1279" s="204" t="s">
        <v>2276</v>
      </c>
      <c r="I1279" s="204" t="s">
        <v>2276</v>
      </c>
      <c r="J1279" s="204" t="s">
        <v>2276</v>
      </c>
      <c r="K1279" s="204" t="s">
        <v>2276</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8241</v>
      </c>
      <c r="B1280" s="204" t="s">
        <v>32</v>
      </c>
      <c r="C1280" s="204" t="s">
        <v>2646</v>
      </c>
      <c r="D1280" s="204" t="s">
        <v>2652</v>
      </c>
      <c r="E1280" s="204" t="s">
        <v>116</v>
      </c>
      <c r="F1280" s="204" t="s">
        <v>2276</v>
      </c>
      <c r="G1280" s="204" t="s">
        <v>2276</v>
      </c>
      <c r="H1280" s="204" t="s">
        <v>2276</v>
      </c>
      <c r="I1280" s="204" t="s">
        <v>2276</v>
      </c>
      <c r="J1280" s="204" t="s">
        <v>2276</v>
      </c>
      <c r="K1280" s="204" t="s">
        <v>2276</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8242</v>
      </c>
      <c r="B1281" s="204" t="s">
        <v>32</v>
      </c>
      <c r="C1281" s="204" t="s">
        <v>2646</v>
      </c>
      <c r="D1281" s="204" t="s">
        <v>2652</v>
      </c>
      <c r="E1281" s="204" t="s">
        <v>116</v>
      </c>
      <c r="F1281" s="204" t="s">
        <v>2276</v>
      </c>
      <c r="G1281" s="204" t="s">
        <v>2276</v>
      </c>
      <c r="H1281" s="204" t="s">
        <v>2276</v>
      </c>
      <c r="I1281" s="204" t="s">
        <v>2276</v>
      </c>
      <c r="J1281" s="204" t="s">
        <v>2276</v>
      </c>
      <c r="K1281" s="204" t="s">
        <v>2276</v>
      </c>
      <c r="L1281" s="204" t="s">
        <v>2276</v>
      </c>
      <c r="M1281" s="204" t="s">
        <v>2276</v>
      </c>
      <c r="N1281" s="204" t="s">
        <v>2276</v>
      </c>
      <c r="O1281" s="204" t="s">
        <v>2276</v>
      </c>
      <c r="P1281" s="204" t="s">
        <v>2276</v>
      </c>
      <c r="Q1281" s="204" t="s">
        <v>2276</v>
      </c>
      <c r="R1281" s="204" t="s">
        <v>2276</v>
      </c>
      <c r="S1281" s="204" t="s">
        <v>2276</v>
      </c>
      <c r="T1281" s="204"/>
    </row>
    <row r="1282" spans="1:20" ht="31" customHeight="1">
      <c r="A1282" s="19" t="s">
        <v>8257</v>
      </c>
      <c r="B1282" s="4" t="s">
        <v>1197</v>
      </c>
      <c r="C1282" s="204" t="s">
        <v>2646</v>
      </c>
      <c r="D1282" s="204" t="s">
        <v>116</v>
      </c>
      <c r="E1282" s="204" t="s">
        <v>137</v>
      </c>
      <c r="F1282" s="204" t="s">
        <v>2276</v>
      </c>
      <c r="G1282" s="204" t="s">
        <v>2276</v>
      </c>
      <c r="H1282" s="204" t="s">
        <v>2276</v>
      </c>
      <c r="I1282" s="204" t="s">
        <v>2276</v>
      </c>
      <c r="J1282" s="204" t="s">
        <v>2276</v>
      </c>
      <c r="K1282" s="204" t="s">
        <v>2276</v>
      </c>
      <c r="L1282" s="204" t="s">
        <v>2276</v>
      </c>
      <c r="M1282" s="204" t="s">
        <v>2276</v>
      </c>
      <c r="N1282" s="204" t="s">
        <v>2276</v>
      </c>
      <c r="O1282" s="204" t="s">
        <v>2276</v>
      </c>
      <c r="P1282" s="204" t="s">
        <v>2276</v>
      </c>
      <c r="Q1282" s="204" t="s">
        <v>2276</v>
      </c>
      <c r="R1282" s="204" t="s">
        <v>2276</v>
      </c>
      <c r="S1282" s="204" t="s">
        <v>2276</v>
      </c>
      <c r="T1282" s="204"/>
    </row>
    <row r="1283" spans="1:20" ht="34.5" customHeight="1">
      <c r="A1283" s="19" t="s">
        <v>8271</v>
      </c>
      <c r="B1283" s="204" t="s">
        <v>69</v>
      </c>
      <c r="C1283" s="204" t="s">
        <v>395</v>
      </c>
      <c r="D1283" s="204" t="s">
        <v>116</v>
      </c>
      <c r="E1283" s="204" t="s">
        <v>2276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9" customHeight="1">
      <c r="A1284" s="19" t="s">
        <v>8284</v>
      </c>
      <c r="B1284" s="204" t="s">
        <v>32</v>
      </c>
      <c r="C1284" s="204" t="s">
        <v>2646</v>
      </c>
      <c r="D1284" s="204" t="s">
        <v>116</v>
      </c>
      <c r="E1284" s="204" t="s">
        <v>137</v>
      </c>
      <c r="F1284" s="204" t="s">
        <v>3209</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9" customHeight="1">
      <c r="A1285" s="19" t="s">
        <v>8285</v>
      </c>
      <c r="B1285" s="204" t="s">
        <v>32</v>
      </c>
      <c r="C1285" s="204" t="s">
        <v>2646</v>
      </c>
      <c r="D1285" s="204" t="s">
        <v>116</v>
      </c>
      <c r="E1285" s="204" t="s">
        <v>137</v>
      </c>
      <c r="F1285" s="204" t="s">
        <v>3209</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29" customHeight="1">
      <c r="A1286" s="19" t="s">
        <v>8286</v>
      </c>
      <c r="B1286" s="204" t="s">
        <v>32</v>
      </c>
      <c r="C1286" s="204" t="s">
        <v>2646</v>
      </c>
      <c r="D1286" s="204" t="s">
        <v>116</v>
      </c>
      <c r="E1286" s="204" t="s">
        <v>137</v>
      </c>
      <c r="F1286" s="204" t="s">
        <v>3209</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7.5" customHeight="1">
      <c r="A1287" s="19" t="s">
        <v>8299</v>
      </c>
      <c r="B1287" s="204" t="s">
        <v>32</v>
      </c>
      <c r="C1287" s="204" t="s">
        <v>2645</v>
      </c>
      <c r="D1287" s="204" t="s">
        <v>116</v>
      </c>
      <c r="E1287" s="204" t="s">
        <v>2649</v>
      </c>
      <c r="F1287" s="4" t="s">
        <v>397</v>
      </c>
      <c r="G1287" s="204" t="s">
        <v>2653</v>
      </c>
      <c r="H1287" s="204" t="s">
        <v>2276</v>
      </c>
      <c r="I1287" s="204" t="s">
        <v>2276</v>
      </c>
      <c r="J1287" s="204" t="s">
        <v>2276</v>
      </c>
      <c r="K1287" s="204" t="s">
        <v>534</v>
      </c>
      <c r="L1287" s="204" t="s">
        <v>2276</v>
      </c>
      <c r="M1287" s="204" t="s">
        <v>2276</v>
      </c>
      <c r="N1287" s="204" t="s">
        <v>2276</v>
      </c>
      <c r="O1287" s="204" t="s">
        <v>2276</v>
      </c>
      <c r="P1287" s="204" t="s">
        <v>2276</v>
      </c>
      <c r="Q1287" s="204" t="s">
        <v>2276</v>
      </c>
      <c r="R1287" s="204" t="s">
        <v>2276</v>
      </c>
      <c r="S1287" s="204" t="s">
        <v>2276</v>
      </c>
      <c r="T1287" s="204"/>
    </row>
    <row r="1288" spans="1:20" ht="50" customHeight="1">
      <c r="A1288" s="19" t="s">
        <v>8314</v>
      </c>
      <c r="B1288" s="204" t="s">
        <v>2258</v>
      </c>
      <c r="C1288" s="204" t="s">
        <v>12</v>
      </c>
      <c r="D1288" s="4" t="s">
        <v>3854</v>
      </c>
      <c r="E1288" s="204" t="s">
        <v>2276</v>
      </c>
      <c r="F1288" s="204" t="s">
        <v>2276</v>
      </c>
      <c r="G1288" s="204" t="s">
        <v>2276</v>
      </c>
      <c r="H1288" s="204" t="s">
        <v>2276</v>
      </c>
      <c r="I1288" s="204" t="s">
        <v>2276</v>
      </c>
      <c r="J1288" s="204" t="s">
        <v>2276</v>
      </c>
      <c r="K1288" s="204" t="s">
        <v>2276</v>
      </c>
      <c r="L1288" s="204" t="s">
        <v>2276</v>
      </c>
      <c r="M1288" s="204" t="s">
        <v>2276</v>
      </c>
      <c r="N1288" s="204" t="s">
        <v>2276</v>
      </c>
      <c r="O1288" s="204" t="s">
        <v>2276</v>
      </c>
      <c r="P1288" s="204">
        <v>2.2000000000000002</v>
      </c>
      <c r="Q1288" s="204">
        <v>13.8</v>
      </c>
      <c r="R1288" s="204">
        <f>14.5+71.7</f>
        <v>86.2</v>
      </c>
      <c r="S1288" s="204" t="s">
        <v>2276</v>
      </c>
      <c r="T1288" s="204"/>
    </row>
    <row r="1289" spans="1:20" ht="50" customHeight="1">
      <c r="A1289" s="19" t="s">
        <v>8315</v>
      </c>
      <c r="B1289" s="204" t="s">
        <v>2258</v>
      </c>
      <c r="C1289" s="204" t="s">
        <v>12</v>
      </c>
      <c r="D1289" s="4" t="s">
        <v>3854</v>
      </c>
      <c r="E1289" s="204" t="s">
        <v>2276</v>
      </c>
      <c r="F1289" s="204" t="s">
        <v>2276</v>
      </c>
      <c r="G1289" s="204" t="s">
        <v>2276</v>
      </c>
      <c r="H1289" s="204" t="s">
        <v>2276</v>
      </c>
      <c r="I1289" s="204" t="s">
        <v>2276</v>
      </c>
      <c r="J1289" s="204" t="s">
        <v>2276</v>
      </c>
      <c r="K1289" s="204" t="s">
        <v>2276</v>
      </c>
      <c r="L1289" s="204" t="s">
        <v>2276</v>
      </c>
      <c r="M1289" s="204" t="s">
        <v>2276</v>
      </c>
      <c r="N1289" s="204" t="s">
        <v>2276</v>
      </c>
      <c r="O1289" s="204" t="s">
        <v>2276</v>
      </c>
      <c r="P1289" s="204">
        <v>2.4</v>
      </c>
      <c r="Q1289" s="21">
        <f>10</f>
        <v>10</v>
      </c>
      <c r="R1289" s="21">
        <f>80.7+6.9</f>
        <v>87.600000000000009</v>
      </c>
      <c r="S1289" s="204" t="s">
        <v>2276</v>
      </c>
      <c r="T1289" s="204"/>
    </row>
    <row r="1290" spans="1:20" ht="50" customHeight="1">
      <c r="A1290" s="19" t="s">
        <v>8318</v>
      </c>
      <c r="B1290" s="204" t="s">
        <v>2258</v>
      </c>
      <c r="C1290" s="204" t="s">
        <v>12</v>
      </c>
      <c r="D1290" s="4" t="s">
        <v>3854</v>
      </c>
      <c r="E1290" s="204" t="s">
        <v>2653</v>
      </c>
      <c r="F1290" s="204" t="s">
        <v>2276</v>
      </c>
      <c r="G1290" s="204" t="s">
        <v>2276</v>
      </c>
      <c r="H1290" s="204" t="s">
        <v>2276</v>
      </c>
      <c r="I1290" s="204" t="s">
        <v>2276</v>
      </c>
      <c r="J1290" s="204" t="s">
        <v>2276</v>
      </c>
      <c r="K1290" s="204" t="s">
        <v>2276</v>
      </c>
      <c r="L1290" s="204" t="s">
        <v>2276</v>
      </c>
      <c r="M1290" s="204" t="s">
        <v>2276</v>
      </c>
      <c r="N1290" s="204" t="s">
        <v>2276</v>
      </c>
      <c r="O1290" s="204" t="s">
        <v>2276</v>
      </c>
      <c r="P1290" s="204">
        <v>49.6</v>
      </c>
      <c r="Q1290" s="204">
        <v>4.3</v>
      </c>
      <c r="R1290" s="21">
        <f>6.5+39.6</f>
        <v>46.1</v>
      </c>
      <c r="S1290" s="204" t="s">
        <v>2276</v>
      </c>
      <c r="T1290" s="204" t="s">
        <v>8324</v>
      </c>
    </row>
    <row r="1291" spans="1:20" ht="50" customHeight="1">
      <c r="A1291" s="19" t="s">
        <v>8319</v>
      </c>
      <c r="B1291" s="204" t="s">
        <v>2258</v>
      </c>
      <c r="C1291" s="204" t="s">
        <v>12</v>
      </c>
      <c r="D1291" s="4" t="s">
        <v>3854</v>
      </c>
      <c r="E1291" s="204" t="s">
        <v>2653</v>
      </c>
      <c r="F1291" s="204" t="s">
        <v>2276</v>
      </c>
      <c r="G1291" s="204" t="s">
        <v>2276</v>
      </c>
      <c r="H1291" s="204" t="s">
        <v>2276</v>
      </c>
      <c r="I1291" s="204" t="s">
        <v>2276</v>
      </c>
      <c r="J1291" s="204" t="s">
        <v>2276</v>
      </c>
      <c r="K1291" s="204" t="s">
        <v>2276</v>
      </c>
      <c r="L1291" s="204" t="s">
        <v>2276</v>
      </c>
      <c r="M1291" s="204" t="s">
        <v>2276</v>
      </c>
      <c r="N1291" s="204" t="s">
        <v>2276</v>
      </c>
      <c r="O1291" s="204" t="s">
        <v>2276</v>
      </c>
      <c r="P1291" s="204">
        <v>30.6</v>
      </c>
      <c r="Q1291" s="204">
        <v>8.3000000000000007</v>
      </c>
      <c r="R1291" s="21">
        <f>57.6+2.2</f>
        <v>59.800000000000004</v>
      </c>
      <c r="S1291" s="204" t="s">
        <v>2276</v>
      </c>
      <c r="T1291" s="204" t="s">
        <v>8324</v>
      </c>
    </row>
    <row r="1292" spans="1:20" ht="50" customHeight="1">
      <c r="A1292" s="19" t="s">
        <v>8356</v>
      </c>
      <c r="B1292" s="204" t="s">
        <v>2258</v>
      </c>
      <c r="C1292" s="204" t="s">
        <v>12</v>
      </c>
      <c r="D1292" s="4" t="s">
        <v>3854</v>
      </c>
      <c r="E1292" s="204" t="s">
        <v>2653</v>
      </c>
      <c r="F1292" s="204" t="s">
        <v>2276</v>
      </c>
      <c r="G1292" s="204" t="s">
        <v>2276</v>
      </c>
      <c r="H1292" s="204" t="s">
        <v>2276</v>
      </c>
      <c r="I1292" s="204" t="s">
        <v>2276</v>
      </c>
      <c r="J1292" s="204" t="s">
        <v>2276</v>
      </c>
      <c r="K1292" s="204" t="s">
        <v>2276</v>
      </c>
      <c r="L1292" s="204" t="s">
        <v>2276</v>
      </c>
      <c r="M1292" s="204" t="s">
        <v>2276</v>
      </c>
      <c r="N1292" s="204" t="s">
        <v>2276</v>
      </c>
      <c r="O1292" s="204" t="s">
        <v>2276</v>
      </c>
      <c r="P1292" s="204" t="s">
        <v>2276</v>
      </c>
      <c r="Q1292" s="204" t="s">
        <v>2276</v>
      </c>
      <c r="R1292" s="204" t="s">
        <v>2276</v>
      </c>
      <c r="S1292" s="204" t="s">
        <v>2276</v>
      </c>
      <c r="T1292" s="11" t="s">
        <v>8360</v>
      </c>
    </row>
    <row r="1293" spans="1:20" ht="50" customHeight="1">
      <c r="A1293" s="19" t="s">
        <v>8357</v>
      </c>
      <c r="B1293" s="204" t="s">
        <v>2258</v>
      </c>
      <c r="C1293" s="204" t="s">
        <v>12</v>
      </c>
      <c r="D1293" s="4" t="s">
        <v>3854</v>
      </c>
      <c r="E1293" s="204" t="s">
        <v>2653</v>
      </c>
      <c r="F1293" s="204" t="s">
        <v>2276</v>
      </c>
      <c r="G1293" s="204" t="s">
        <v>2276</v>
      </c>
      <c r="H1293" s="204" t="s">
        <v>2276</v>
      </c>
      <c r="I1293" s="204" t="s">
        <v>2276</v>
      </c>
      <c r="J1293" s="204" t="s">
        <v>2276</v>
      </c>
      <c r="K1293" s="204" t="s">
        <v>2276</v>
      </c>
      <c r="L1293" s="204" t="s">
        <v>2276</v>
      </c>
      <c r="M1293" s="204" t="s">
        <v>2276</v>
      </c>
      <c r="N1293" s="204" t="s">
        <v>2276</v>
      </c>
      <c r="O1293" s="204" t="s">
        <v>2276</v>
      </c>
      <c r="P1293" s="204" t="s">
        <v>2276</v>
      </c>
      <c r="Q1293" s="204" t="s">
        <v>2276</v>
      </c>
      <c r="R1293" s="204" t="s">
        <v>2276</v>
      </c>
      <c r="S1293" s="204" t="s">
        <v>2276</v>
      </c>
      <c r="T1293" s="11" t="s">
        <v>8361</v>
      </c>
    </row>
    <row r="1294" spans="1:20" ht="50" customHeight="1">
      <c r="A1294" s="19" t="s">
        <v>8355</v>
      </c>
      <c r="B1294" s="204" t="s">
        <v>2276</v>
      </c>
      <c r="C1294" s="204" t="s">
        <v>12</v>
      </c>
      <c r="D1294" s="4" t="s">
        <v>396</v>
      </c>
      <c r="E1294" s="204" t="s">
        <v>2276</v>
      </c>
      <c r="F1294" s="204" t="s">
        <v>2276</v>
      </c>
      <c r="G1294" s="204" t="s">
        <v>2276</v>
      </c>
      <c r="H1294" s="204" t="s">
        <v>2276</v>
      </c>
      <c r="I1294" s="204" t="s">
        <v>2276</v>
      </c>
      <c r="J1294" s="204" t="s">
        <v>2276</v>
      </c>
      <c r="K1294" s="204" t="s">
        <v>2276</v>
      </c>
      <c r="L1294" s="204" t="s">
        <v>2276</v>
      </c>
      <c r="M1294" s="204" t="s">
        <v>2276</v>
      </c>
      <c r="N1294" s="204" t="s">
        <v>2276</v>
      </c>
      <c r="O1294" s="204" t="s">
        <v>2276</v>
      </c>
      <c r="P1294" s="204" t="s">
        <v>2276</v>
      </c>
      <c r="Q1294" s="204" t="s">
        <v>2276</v>
      </c>
      <c r="R1294" s="204" t="s">
        <v>2276</v>
      </c>
      <c r="S1294" s="204" t="s">
        <v>2276</v>
      </c>
      <c r="T1294" s="204"/>
    </row>
    <row r="1295" spans="1:20" ht="50" customHeight="1">
      <c r="A1295" s="19" t="s">
        <v>8384</v>
      </c>
      <c r="B1295" s="204" t="s">
        <v>2276</v>
      </c>
      <c r="C1295" s="204" t="s">
        <v>12</v>
      </c>
      <c r="D1295" s="4" t="s">
        <v>396</v>
      </c>
      <c r="E1295" s="204" t="s">
        <v>2276</v>
      </c>
      <c r="F1295" s="204" t="s">
        <v>2276</v>
      </c>
      <c r="G1295" s="204" t="s">
        <v>2276</v>
      </c>
      <c r="H1295" s="204" t="s">
        <v>2276</v>
      </c>
      <c r="I1295" s="204" t="s">
        <v>2276</v>
      </c>
      <c r="J1295" s="204" t="s">
        <v>2276</v>
      </c>
      <c r="K1295" s="204" t="s">
        <v>2276</v>
      </c>
      <c r="L1295" s="204" t="s">
        <v>2276</v>
      </c>
      <c r="M1295" s="204" t="s">
        <v>2276</v>
      </c>
      <c r="N1295" s="204" t="s">
        <v>2276</v>
      </c>
      <c r="O1295" s="204" t="s">
        <v>2276</v>
      </c>
      <c r="P1295" s="204" t="s">
        <v>2276</v>
      </c>
      <c r="Q1295" s="204" t="s">
        <v>2276</v>
      </c>
      <c r="R1295" s="204" t="s">
        <v>2276</v>
      </c>
      <c r="S1295" s="204" t="s">
        <v>2276</v>
      </c>
      <c r="T1295" s="204"/>
    </row>
    <row r="1296" spans="1:20" ht="43.5" customHeight="1">
      <c r="A1296" s="19" t="s">
        <v>8390</v>
      </c>
      <c r="B1296" s="204" t="s">
        <v>2276</v>
      </c>
      <c r="C1296" s="204" t="s">
        <v>12</v>
      </c>
      <c r="D1296" s="4" t="s">
        <v>396</v>
      </c>
      <c r="E1296" s="4" t="s">
        <v>397</v>
      </c>
      <c r="F1296" s="204" t="s">
        <v>2276</v>
      </c>
      <c r="G1296" s="204" t="s">
        <v>2276</v>
      </c>
      <c r="H1296" s="204" t="s">
        <v>2276</v>
      </c>
      <c r="I1296" s="204" t="s">
        <v>2276</v>
      </c>
      <c r="J1296" s="204" t="s">
        <v>2276</v>
      </c>
      <c r="K1296" s="204" t="s">
        <v>2276</v>
      </c>
      <c r="L1296" s="204" t="s">
        <v>2276</v>
      </c>
      <c r="M1296" s="204" t="s">
        <v>2276</v>
      </c>
      <c r="N1296" s="204" t="s">
        <v>2276</v>
      </c>
      <c r="O1296" s="204" t="s">
        <v>2276</v>
      </c>
      <c r="P1296" s="204" t="s">
        <v>2276</v>
      </c>
      <c r="Q1296" s="204" t="s">
        <v>2276</v>
      </c>
      <c r="R1296" s="204" t="s">
        <v>2276</v>
      </c>
      <c r="S1296" s="204" t="s">
        <v>2276</v>
      </c>
      <c r="T1296" s="204"/>
    </row>
    <row r="1297" spans="1:20" ht="42" customHeight="1">
      <c r="A1297" s="19" t="s">
        <v>8415</v>
      </c>
      <c r="B1297" s="204" t="s">
        <v>2276</v>
      </c>
      <c r="C1297" s="204" t="s">
        <v>2645</v>
      </c>
      <c r="D1297" s="204" t="s">
        <v>84</v>
      </c>
      <c r="E1297" s="204" t="s">
        <v>2276</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204"/>
    </row>
    <row r="1298" spans="1:20" ht="37" customHeight="1">
      <c r="A1298" s="19" t="s">
        <v>8420</v>
      </c>
      <c r="B1298" s="204" t="s">
        <v>2276</v>
      </c>
      <c r="C1298" s="204" t="s">
        <v>2645</v>
      </c>
      <c r="D1298" s="204" t="s">
        <v>84</v>
      </c>
      <c r="E1298" s="204" t="s">
        <v>2276</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204"/>
    </row>
    <row r="1299" spans="1:20" ht="36.5" customHeight="1">
      <c r="A1299" s="19" t="s">
        <v>8424</v>
      </c>
      <c r="B1299" s="204" t="s">
        <v>2276</v>
      </c>
      <c r="C1299" s="204" t="s">
        <v>2645</v>
      </c>
      <c r="D1299" s="204" t="s">
        <v>84</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32.5" customHeight="1">
      <c r="A1300" s="151" t="s">
        <v>8433</v>
      </c>
      <c r="B1300" s="204" t="s">
        <v>2276</v>
      </c>
      <c r="C1300" s="204" t="s">
        <v>2645</v>
      </c>
      <c r="D1300" s="204" t="s">
        <v>84</v>
      </c>
      <c r="E1300" s="204" t="s">
        <v>2276</v>
      </c>
      <c r="F1300" s="204" t="s">
        <v>2276</v>
      </c>
      <c r="G1300" s="204" t="s">
        <v>2276</v>
      </c>
      <c r="H1300" s="204" t="s">
        <v>2276</v>
      </c>
      <c r="I1300" s="204" t="s">
        <v>2276</v>
      </c>
      <c r="J1300" s="204" t="s">
        <v>2276</v>
      </c>
      <c r="K1300" s="204" t="s">
        <v>2276</v>
      </c>
      <c r="L1300" s="204" t="s">
        <v>2276</v>
      </c>
      <c r="M1300" s="204" t="s">
        <v>2276</v>
      </c>
      <c r="N1300" s="204" t="s">
        <v>2276</v>
      </c>
      <c r="O1300" s="204" t="s">
        <v>2276</v>
      </c>
      <c r="P1300" s="204" t="s">
        <v>2276</v>
      </c>
      <c r="Q1300" s="204" t="s">
        <v>2276</v>
      </c>
      <c r="R1300" s="204" t="s">
        <v>2276</v>
      </c>
      <c r="S1300" s="204" t="s">
        <v>2276</v>
      </c>
      <c r="T1300" s="204"/>
    </row>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770" yWindow="460" count="11">
    <dataValidation allowBlank="1" showInputMessage="1" showErrorMessage="1" prompt="The same as Case study ID in Record Info_x000a_" sqref="A506:A583 A1:A489 A673:A704 A716:A783 A808:A828 A834:A837 A848:A854 A868:A881 A598:A660 A886:A926 A1058:A1069 A1110:A1114 A1146:A1149 A1218:A1223 A1232 A1243:A1270 A1278: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3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Q1289:R1289 Q1059 R1059:R1060 P1060 O1059:O1060 S1060 R1070 O1092 O1100:O1109 P1054 S1232 R1233:R1242 O1233:P1242 Q1238:Q1242 R1249 P1249 O1255 R1255:S1255 O1258 R1263:R1266 R1290:R1291 N1301: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F933:S933 G932:M932 C935:S935 H963 P932 H1000:H1012 H1025:H1028 H1100:H1109 H927:H931 F929:G931 I929:J931 H1086:H1092 H1065 H1078:H1080 H1224:H1231 H1250:H1251 H1258 H1261 H1020:H1021 H13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I1024:I1028 J1022:J1028 L927:L931 M929:S931 L963 J1004:J1012 J963 I1055:J1055 L1301:L1048576 H1030:I1030 J1001:J1002 I997:I1012 I1020:I1022 J13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A1224:A1231 A1233:A1242 A1271:A1277"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45 I1251 I1253:I1255 I1257:I1258 I1301:I1048576" xr:uid="{F7D4EAB2-4AF5-41E9-921A-C117323BA598}">
      <formula1>0</formula1>
      <formula2>99999999</formula2>
    </dataValidation>
  </dataValidations>
  <hyperlinks>
    <hyperlink ref="T810"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770" yWindow="460"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K1218:K1220 K1223 K1232 K1255 K1259:K1260 K1271:K1277 K1287 K1301:K1048576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G891:O891 C622 F894:O894 H892:R893 R894 F903:S903 G904:H904 J904:S904 F905:S905 O906:Q906 L907:R913 L906:M906 H906:J906 G907:J910 K907:K909 K918:R920 E914:F915 F916 K914:R916 L917:R917 S906:S920 I912:I920 G912:G920 J911:J920 H911:H920 B1:B390 F920 F922:G923 E921:G921 J921:S926 B946:B996 G925 B598:B944 H926 H924:I924 C1110 C1115:C1122 C1128:C1149 F1221:S1222 E1115:J1217 K1115:K1149 K1151:K1217 E1219:J1219 F1218:J1218 L1115:S1220 H1220:J1220 L1223:S1223 F1223:J1223 L1232:R1232 E1224:G1231 I1224:S1231 G1232:J1232 J1245:R1245 F1233:G1237 Q1233:Q1237 K1253:K1254 H1233:N1242 G1243:R1244 F1245:H1245 H1246:R1248 R1250:R1262 H1249:O1249 E1250:G1251 I1250:P1250 J1251:P1251 E1252:P1252 S1233:S1300 J1253:J1300 L1253:P1255 K1258:N1258 K1256:P1257 I1256 F1253:H1257 E1256 G1258:G1259 I1261:I1300 H1259:I1260 L1259:O1260 H1262:H1300 F1266:G1266 K1288:O1293 G1261 G1263:G1264 E1267:G1267 K1261:O1270 G1268:G1286 F1270 L1271:O1277 F1278:F1283 E1283 K1278:O1286 L1287:O1287 E1288:G1289 R1267:R1287 P1292:R1293 F1290:G1293 Q1249:Q1287 P1258:P1287 E1294:G1295 F1296:G1296 B1058:B1048576 E1297:G1300 K1294:R1300</xm:sqref>
        </x14:dataValidation>
        <x14:dataValidation type="list" allowBlank="1" showInputMessage="1" showErrorMessage="1" xr:uid="{88CFF800-DF56-4555-B0F3-AE555EFB2C06}">
          <x14:formula1>
            <xm:f>'IGNORE Lookups'!$C$23:$C$43</xm:f>
          </x14:formula1>
          <xm:sqref>J836:J843 J848:N851 I852:J852 L852:N852 I853:N854 D778:F778 H855:N859 J868:J888 I876:I879 I869:I871 K860:N869 F835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H774:H854 H625:H683 E906</xm:sqref>
        </x14:dataValidation>
        <x14:dataValidation type="list" allowBlank="1" showInputMessage="1" showErrorMessage="1" xr:uid="{F2DB2DF3-B881-43DA-9B74-25DF856249B0}">
          <x14:formula1>
            <xm:f>'IGNORE Lookups'!$B$23:$B$27</xm:f>
          </x14:formula1>
          <xm:sqref>C1:C621 C623:C926 C963 C929:C931 C949:C950 C1058:C1109 C1111:C1114 C1123:C1127 C1150:C1048576</xm:sqref>
        </x14:dataValidation>
        <x14:dataValidation type="list" allowBlank="1" showInputMessage="1" showErrorMessage="1" xr:uid="{233C3D7D-13C9-4E38-AAC9-5E3F822FC6ED}">
          <x14:formula1>
            <xm:f>'IGNORE Lookups'!$C$23:$C$45</xm:f>
          </x14:formula1>
          <xm:sqref>G892:G893 F895:S897 K899:K902 E894:E897 L898:S902 E898:J902 F904 E903:E905 G906 F906:F910 F911:G911 E907:E913 F917:F919 F912:F913 E916:E920 G1:G890 E1:F893 G924 I982 G926 E922:E926 F932 E933 F936:F942 F989 F944:F945 D964:E977 D950 E946:E949 F951:F962 D963:G963 I984 D978:D988 E978:E987 F964:F974 Q986:Q987 O966:P968 O971 R986 R977 S964:S987 R966:R969 Q964:Q970 O974:R974 Q976:Q977 O982:P987 Q982 Q984:R984 G964:H987 J964:N987 D1:D926 F924:F926 E1058:E1063 E1065:F1065 G1066:G1068 F1079:F1080 G1084:G1086 G1090:G1094 F1076:F1077 F1103 F1100 F1084:F1094 G1080 F1066:F1069 E1066:E1082 E1084:E1095 E1100:E1101 E1103:E1104 E1107:E1114 F1108:F1114 G1110:S1114 E1218 F1220:G1220 E1220:E1223 F1232 G1238:G1242 F1238:F1244 E1232:E1249 F1246:G1249 E1253:E1255 E1257 E1258:F1259 F1260:G1260 F1261:F1264 F1265:G1265 G1262 E1260:E1266 F1268:F1269 F1271:F1277 E1268:E1282 E1284:F1287 G1287 D1007:D1012 E1001:E1006 E1290:E1293 D1058:D1048576 E1030 D1022 E1296 E1301:G1048576</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E943:Q943 O944:Q944 F937:O942 F927:G928 K927:K931 E927:E932 F932 E934:S934 D927:D934 F936:S936 E936:E942 S937:S944 E944:M944 E945:S945 D936:D945 E963:E967 K963:K987 I989:P989 O950 E988:P988 E989:G989 S946:S950 D946:N950 O946:R948 D951:S962 D968:E987 D964:D967 I984 Q986:Q987 L964:N987 O966:P968 O971 R986 R977 S964:S987 R966:R969 Q964:Q970 O974:R974 Q976:Q977 O982:P987 Q982 Q984:R984 F964:H987 J964:J987 I982 D989:D996 H989:H994 H996:S996 I990:J994 L990:S994 F990:F996 K990:K995 D1001:E1006 J1003 J997:J1000 D1007:D1012 D1020:D1022 D1025:D1026</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J1013:J1021 L1031:S1052 K997:S1027 L995:S995 G995:J995 G990:G994 G996 F1058:S1058 F1059:N1060 P1059 S1059 E1064 F1061:P1064 R1061:S1064 Q1060:Q1064 G1065 I1065:S1065 H1066:S1068 G1069:S1069 I1070:I1109 H1093:H1099 H1081:H1085 G1087:G1089 G1095:G1109 F1104:F1107 F1101:F1102 F1095:F1099 F1081:G1083 F1078:G1078 G1079 G1070:H1077 F1070:F1075 E1083 E1096:E1099 E1102 E1105:E1106 E1054:J1054 F1053:J1053 L1053:O1054 P1053:S1053 Q1054:Q1057 S1054:S1057 G1055 E1033:F1043 E1046:F1050 E1056:J1056 F1057:J1057 G1031:J1052 F1031 R1055:R1057 L1055:P1057 F997:G1030 D997:E1000 H1022:H1024 H1013:I1019 D1013:D1019 J1030:S1030 I1023 D1023:D1024 D1027:D1030 H1029:J1029 E1007:E1029</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See AFT table, page 1 of database protocol" xr:uid="{AAC73340-5F43-4C70-B962-14020B16FA89}">
          <x14:formula1>
            <xm:f>'C:\home\james\OneDrive\Research\Projects\GlobalFireUseDatabase\Industrial Forestry\[AnthroFireDB_IndustrialForestry_2020-06-15.xlsx]IGNORE Lookups'!#REF!</xm:f>
          </x14:formula1>
          <xm:sqref>E990:E996 D1033:D1052 E1031:E1032 F1032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E1053 D1053:D1057 D1031:D1032 K1150 E1051:F1052 E1044:F1045 E1057 E1055:F1055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3150"/>
  <sheetViews>
    <sheetView zoomScale="55" zoomScaleNormal="55" workbookViewId="0">
      <pane ySplit="1" topLeftCell="A307" activePane="bottomLeft" state="frozen"/>
      <selection pane="bottomLeft" activeCell="AD3150" sqref="A3150:AD3150"/>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4"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77">
        <v>10</v>
      </c>
      <c r="M957" s="3" t="s">
        <v>2276</v>
      </c>
      <c r="N957" s="77">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77">
        <v>10</v>
      </c>
      <c r="M958" s="3" t="s">
        <v>2276</v>
      </c>
      <c r="N958" s="77">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77">
        <v>10</v>
      </c>
      <c r="M959" s="3" t="s">
        <v>2276</v>
      </c>
      <c r="N959" s="77">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77">
        <v>10</v>
      </c>
      <c r="M960" s="3" t="s">
        <v>2276</v>
      </c>
      <c r="N960" s="77">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77">
        <v>10</v>
      </c>
      <c r="M962" s="3" t="s">
        <v>2276</v>
      </c>
      <c r="N962" s="77">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77">
        <v>10</v>
      </c>
      <c r="M964" s="3" t="s">
        <v>2276</v>
      </c>
      <c r="N964" s="77">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77">
        <v>10</v>
      </c>
      <c r="M965" s="3" t="s">
        <v>2276</v>
      </c>
      <c r="N965" s="77">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77">
        <v>10</v>
      </c>
      <c r="M966" s="3" t="s">
        <v>2276</v>
      </c>
      <c r="N966" s="77">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77">
        <v>10</v>
      </c>
      <c r="M967" s="3" t="s">
        <v>2276</v>
      </c>
      <c r="N967" s="77">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77">
        <v>10</v>
      </c>
      <c r="M969" s="3" t="s">
        <v>2276</v>
      </c>
      <c r="N969" s="77">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1">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2">
        <v>0.04</v>
      </c>
      <c r="M1297" s="72">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69"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69"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68"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3"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3" t="s">
        <v>24</v>
      </c>
      <c r="D1598" s="3" t="s">
        <v>2276</v>
      </c>
      <c r="E1598" s="3" t="s">
        <v>1105</v>
      </c>
      <c r="F1598" s="4" t="s">
        <v>2662</v>
      </c>
      <c r="G1598" s="168"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3" t="s">
        <v>24</v>
      </c>
      <c r="D1599" s="3" t="s">
        <v>2276</v>
      </c>
      <c r="E1599" s="3" t="s">
        <v>5005</v>
      </c>
      <c r="F1599" s="4" t="s">
        <v>2662</v>
      </c>
      <c r="G1599" s="168"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3" t="s">
        <v>24</v>
      </c>
      <c r="D1600" s="3" t="s">
        <v>2276</v>
      </c>
      <c r="E1600" s="3" t="s">
        <v>5005</v>
      </c>
      <c r="F1600" s="4" t="s">
        <v>2662</v>
      </c>
      <c r="G1600" s="168"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68" t="s">
        <v>4753</v>
      </c>
    </row>
    <row r="1601" spans="1:30" s="122" customFormat="1" ht="43.5" customHeight="1">
      <c r="A1601" s="11" t="s">
        <v>4747</v>
      </c>
      <c r="B1601" s="11" t="s">
        <v>4757</v>
      </c>
      <c r="C1601" s="3" t="s">
        <v>24</v>
      </c>
      <c r="D1601" s="3" t="s">
        <v>2276</v>
      </c>
      <c r="E1601" s="3" t="s">
        <v>45</v>
      </c>
      <c r="F1601" s="4" t="s">
        <v>2662</v>
      </c>
      <c r="G1601" s="168"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68" t="s">
        <v>4753</v>
      </c>
    </row>
    <row r="1602" spans="1:30" s="122" customFormat="1" ht="43.5" customHeight="1">
      <c r="A1602" s="11" t="s">
        <v>4747</v>
      </c>
      <c r="B1602" s="11" t="s">
        <v>4758</v>
      </c>
      <c r="C1602" s="3" t="s">
        <v>24</v>
      </c>
      <c r="D1602" s="3" t="s">
        <v>2276</v>
      </c>
      <c r="E1602" s="3" t="s">
        <v>130</v>
      </c>
      <c r="F1602" s="4" t="s">
        <v>2662</v>
      </c>
      <c r="G1602" s="168"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68" t="s">
        <v>4753</v>
      </c>
    </row>
    <row r="1603" spans="1:30" s="122" customFormat="1" ht="43.5" customHeight="1">
      <c r="A1603" s="11" t="s">
        <v>4748</v>
      </c>
      <c r="B1603" s="11" t="s">
        <v>4755</v>
      </c>
      <c r="C1603" s="3" t="s">
        <v>24</v>
      </c>
      <c r="D1603" s="3" t="s">
        <v>25</v>
      </c>
      <c r="E1603" s="3" t="s">
        <v>45</v>
      </c>
      <c r="F1603" s="4" t="s">
        <v>2662</v>
      </c>
      <c r="G1603" s="168"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2" customFormat="1" ht="43.5" customHeight="1">
      <c r="A1604" s="11" t="s">
        <v>4748</v>
      </c>
      <c r="B1604" s="11" t="s">
        <v>4759</v>
      </c>
      <c r="C1604" s="3" t="s">
        <v>24</v>
      </c>
      <c r="D1604" s="3" t="s">
        <v>25</v>
      </c>
      <c r="E1604" s="3" t="s">
        <v>45</v>
      </c>
      <c r="F1604" s="4" t="s">
        <v>2662</v>
      </c>
      <c r="G1604" s="168"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68" t="s">
        <v>4753</v>
      </c>
    </row>
    <row r="1605" spans="1:30" s="122" customFormat="1" ht="43.5" customHeight="1">
      <c r="A1605" s="11" t="s">
        <v>4748</v>
      </c>
      <c r="B1605" s="11" t="s">
        <v>4760</v>
      </c>
      <c r="C1605" s="3" t="s">
        <v>24</v>
      </c>
      <c r="D1605" s="3" t="s">
        <v>25</v>
      </c>
      <c r="E1605" s="3" t="s">
        <v>2647</v>
      </c>
      <c r="F1605" s="4" t="s">
        <v>2662</v>
      </c>
      <c r="G1605" s="168"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2"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203" customFormat="1" ht="52.5" customHeight="1">
      <c r="A2145" s="204" t="s">
        <v>6083</v>
      </c>
      <c r="B2145" s="204" t="s">
        <v>6980</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6984</v>
      </c>
      <c r="AD2145" s="4" t="s">
        <v>6987</v>
      </c>
    </row>
    <row r="2146" spans="1:30" s="203" customFormat="1" ht="52" customHeight="1">
      <c r="A2146" s="204" t="s">
        <v>6083</v>
      </c>
      <c r="B2146" s="204" t="s">
        <v>6981</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6988</v>
      </c>
    </row>
    <row r="2147" spans="1:30" s="203" customFormat="1" ht="56.5" customHeight="1">
      <c r="A2147" s="204" t="s">
        <v>6084</v>
      </c>
      <c r="B2147" s="204" t="s">
        <v>6982</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6984</v>
      </c>
      <c r="AD2147" s="4" t="s">
        <v>6987</v>
      </c>
    </row>
    <row r="2148" spans="1:30" s="203" customFormat="1" ht="54.5" customHeight="1">
      <c r="A2148" s="204" t="s">
        <v>6084</v>
      </c>
      <c r="B2148" s="204" t="s">
        <v>6983</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6148</v>
      </c>
      <c r="B2149" s="4" t="s">
        <v>6190</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6148</v>
      </c>
      <c r="B2151" s="4" t="s">
        <v>6192</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6149</v>
      </c>
      <c r="B2153" s="4" t="s">
        <v>6194</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6189</v>
      </c>
      <c r="AD2153" s="4"/>
    </row>
    <row r="2154" spans="1:30" s="60" customFormat="1" ht="36.5" customHeight="1">
      <c r="A2154" s="4" t="s">
        <v>6149</v>
      </c>
      <c r="B2154" s="4" t="s">
        <v>6195</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6640</v>
      </c>
      <c r="B2157" s="4" t="s">
        <v>6647</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6640</v>
      </c>
      <c r="B2158" s="4" t="s">
        <v>6648</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6641</v>
      </c>
      <c r="B2159" s="4" t="s">
        <v>6649</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6641</v>
      </c>
      <c r="B2160" s="4" t="s">
        <v>6650</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6642</v>
      </c>
      <c r="B2161" s="4" t="s">
        <v>6651</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6642</v>
      </c>
      <c r="B2162" s="4" t="s">
        <v>6652</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6665</v>
      </c>
    </row>
    <row r="2164" spans="1:30" s="60" customFormat="1" ht="36.5" customHeight="1">
      <c r="A2164" s="4" t="s">
        <v>6150</v>
      </c>
      <c r="B2164" s="4" t="s">
        <v>6658</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6665</v>
      </c>
    </row>
    <row r="2165" spans="1:30" s="205" customFormat="1" ht="36.5" customHeight="1">
      <c r="A2165" s="4" t="s">
        <v>6150</v>
      </c>
      <c r="B2165" s="4" t="s">
        <v>6659</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ref="P2165:P2170" si="0">T2165/(15151/7)</f>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6665</v>
      </c>
    </row>
    <row r="2166" spans="1:30" s="205" customFormat="1" ht="36.5" customHeight="1">
      <c r="A2166" s="4" t="s">
        <v>6150</v>
      </c>
      <c r="B2166" s="4" t="s">
        <v>6660</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6665</v>
      </c>
    </row>
    <row r="2167" spans="1:30" s="205" customFormat="1" ht="36.5" customHeight="1">
      <c r="A2167" s="4" t="s">
        <v>6150</v>
      </c>
      <c r="B2167" s="4" t="s">
        <v>6661</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6665</v>
      </c>
    </row>
    <row r="2168" spans="1:30" s="205" customFormat="1" ht="36.5" customHeight="1">
      <c r="A2168" s="4" t="s">
        <v>6150</v>
      </c>
      <c r="B2168" s="4" t="s">
        <v>6662</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6665</v>
      </c>
    </row>
    <row r="2169" spans="1:30" s="205" customFormat="1" ht="36.5" customHeight="1">
      <c r="A2169" s="4" t="s">
        <v>6150</v>
      </c>
      <c r="B2169" s="4" t="s">
        <v>6663</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6665</v>
      </c>
    </row>
    <row r="2170" spans="1:30" s="205" customFormat="1" ht="36.5" customHeight="1">
      <c r="A2170" s="4" t="s">
        <v>6150</v>
      </c>
      <c r="B2170" s="4" t="s">
        <v>6664</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6665</v>
      </c>
    </row>
    <row r="2171" spans="1:30" s="60" customFormat="1" ht="36.5" customHeight="1">
      <c r="A2171" s="4" t="s">
        <v>6151</v>
      </c>
      <c r="B2171" s="4" t="s">
        <v>6199</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6670</v>
      </c>
    </row>
    <row r="2172" spans="1:30" s="205" customFormat="1" ht="36.5" customHeight="1">
      <c r="A2172" s="4" t="s">
        <v>6151</v>
      </c>
      <c r="B2172" s="4" t="s">
        <v>6200</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6670</v>
      </c>
    </row>
    <row r="2173" spans="1:30" s="60" customFormat="1" ht="36.5" customHeight="1">
      <c r="A2173" s="4" t="s">
        <v>6151</v>
      </c>
      <c r="B2173" s="4" t="s">
        <v>6201</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6671</v>
      </c>
    </row>
    <row r="2174" spans="1:30" s="205" customFormat="1" ht="36.5" customHeight="1">
      <c r="A2174" s="4" t="s">
        <v>6151</v>
      </c>
      <c r="B2174" s="4" t="s">
        <v>6668</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6678</v>
      </c>
    </row>
    <row r="2175" spans="1:30" s="205" customFormat="1" ht="36.5" customHeight="1">
      <c r="A2175" s="4" t="s">
        <v>6151</v>
      </c>
      <c r="B2175" s="4" t="s">
        <v>6669</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6678</v>
      </c>
    </row>
    <row r="2176" spans="1:30" s="205" customFormat="1" ht="36.5" customHeight="1">
      <c r="A2176" s="4" t="s">
        <v>6151</v>
      </c>
      <c r="B2176" s="4" t="s">
        <v>6672</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6152</v>
      </c>
      <c r="B2178" s="4" t="s">
        <v>6259</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6153</v>
      </c>
      <c r="B2179" s="4" t="s">
        <v>6203</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6676</v>
      </c>
      <c r="B2180" s="4" t="s">
        <v>6677</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6160</v>
      </c>
      <c r="B2188" s="4" t="s">
        <v>6683</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6695</v>
      </c>
      <c r="AD2189" s="4"/>
    </row>
    <row r="2190" spans="1:30" s="205" customFormat="1" ht="36.5" customHeight="1">
      <c r="A2190" s="4" t="s">
        <v>6161</v>
      </c>
      <c r="B2190" s="4" t="s">
        <v>6212</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6161</v>
      </c>
      <c r="B2191" s="4" t="s">
        <v>6213</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6686</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6695</v>
      </c>
      <c r="AD2192" s="4"/>
    </row>
    <row r="2193" spans="1:30" s="205" customFormat="1" ht="36.5" customHeight="1">
      <c r="A2193" s="4" t="s">
        <v>6161</v>
      </c>
      <c r="B2193" s="4" t="s">
        <v>6687</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6161</v>
      </c>
      <c r="B2194" s="4" t="s">
        <v>6688</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6689</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6695</v>
      </c>
      <c r="AD2195" s="4"/>
    </row>
    <row r="2196" spans="1:30" s="205" customFormat="1" ht="36.5" customHeight="1">
      <c r="A2196" s="4" t="s">
        <v>6161</v>
      </c>
      <c r="B2196" s="4" t="s">
        <v>6690</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6161</v>
      </c>
      <c r="B2197" s="4" t="s">
        <v>6691</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6161</v>
      </c>
      <c r="B2198" s="4" t="s">
        <v>6692</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6695</v>
      </c>
      <c r="AD2198" s="4"/>
    </row>
    <row r="2199" spans="1:30" s="205" customFormat="1" ht="36.5" customHeight="1">
      <c r="A2199" s="4" t="s">
        <v>6161</v>
      </c>
      <c r="B2199" s="4" t="s">
        <v>6693</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 t="shared" ref="X2199:X2200" si="1">100*T2199/172737.51</f>
        <v>0.89990152341549901</v>
      </c>
      <c r="Y2199" s="4" t="s">
        <v>2276</v>
      </c>
      <c r="Z2199" s="4" t="s">
        <v>2276</v>
      </c>
      <c r="AA2199" s="4" t="s">
        <v>2276</v>
      </c>
      <c r="AB2199" s="4" t="s">
        <v>2276</v>
      </c>
      <c r="AC2199" s="4"/>
      <c r="AD2199" s="4"/>
    </row>
    <row r="2200" spans="1:30" s="205" customFormat="1" ht="36.5" customHeight="1">
      <c r="A2200" s="4" t="s">
        <v>6161</v>
      </c>
      <c r="B2200" s="4" t="s">
        <v>6694</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 t="shared" si="1"/>
        <v>0.4739939321806827</v>
      </c>
      <c r="Y2200" s="4" t="s">
        <v>2276</v>
      </c>
      <c r="Z2200" s="4" t="s">
        <v>2276</v>
      </c>
      <c r="AA2200" s="4" t="s">
        <v>2276</v>
      </c>
      <c r="AB2200" s="4" t="s">
        <v>2276</v>
      </c>
      <c r="AC2200" s="4"/>
      <c r="AD2200" s="4"/>
    </row>
    <row r="2201" spans="1:30" s="205" customFormat="1" ht="53.5" customHeight="1">
      <c r="A2201" s="4" t="s">
        <v>6162</v>
      </c>
      <c r="B2201" s="4" t="s">
        <v>6214</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6701</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6702</v>
      </c>
      <c r="AD2204" s="4"/>
    </row>
    <row r="2205" spans="1:30" s="205" customFormat="1" ht="57.5" customHeight="1">
      <c r="A2205" s="4" t="s">
        <v>6162</v>
      </c>
      <c r="B2205" s="4" t="s">
        <v>6261</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6701</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6703</v>
      </c>
      <c r="AD2206" s="4"/>
    </row>
    <row r="2207" spans="1:30" s="205" customFormat="1" ht="52" customHeight="1">
      <c r="A2207" s="4" t="s">
        <v>6162</v>
      </c>
      <c r="B2207" s="4" t="s">
        <v>6696</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6704</v>
      </c>
      <c r="AD2207" s="4"/>
    </row>
    <row r="2208" spans="1:30" s="205" customFormat="1" ht="55.5" customHeight="1">
      <c r="A2208" s="4" t="s">
        <v>6162</v>
      </c>
      <c r="B2208" s="4" t="s">
        <v>6698</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6704</v>
      </c>
      <c r="AD2208" s="4"/>
    </row>
    <row r="2209" spans="1:30" s="205" customFormat="1" ht="52" customHeight="1">
      <c r="A2209" s="4" t="s">
        <v>6162</v>
      </c>
      <c r="B2209" s="4" t="s">
        <v>6699</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6704</v>
      </c>
      <c r="AD2209" s="4"/>
    </row>
    <row r="2210" spans="1:30" s="205" customFormat="1" ht="52" customHeight="1">
      <c r="A2210" s="4" t="s">
        <v>6162</v>
      </c>
      <c r="B2210" s="4" t="s">
        <v>6700</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6712</v>
      </c>
    </row>
    <row r="2212" spans="1:30" s="60" customFormat="1" ht="36.5" customHeight="1">
      <c r="A2212" s="4" t="s">
        <v>6164</v>
      </c>
      <c r="B2212" s="4" t="s">
        <v>6219</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6712</v>
      </c>
    </row>
    <row r="2213" spans="1:30" s="60" customFormat="1" ht="36.5" customHeight="1">
      <c r="A2213" s="4" t="s">
        <v>6165</v>
      </c>
      <c r="B2213" s="4" t="s">
        <v>6220</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6712</v>
      </c>
    </row>
    <row r="2214" spans="1:30" s="205" customFormat="1" ht="36.5" customHeight="1">
      <c r="A2214" s="4" t="s">
        <v>6163</v>
      </c>
      <c r="B2214" s="4" t="s">
        <v>6705</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6708</v>
      </c>
    </row>
    <row r="2215" spans="1:30" s="205" customFormat="1" ht="36.5" customHeight="1">
      <c r="A2215" s="4" t="s">
        <v>6164</v>
      </c>
      <c r="B2215" s="4" t="s">
        <v>6706</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6708</v>
      </c>
    </row>
    <row r="2216" spans="1:30" s="205" customFormat="1" ht="36.5" customHeight="1">
      <c r="A2216" s="4" t="s">
        <v>6165</v>
      </c>
      <c r="B2216" s="4" t="s">
        <v>6707</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6708</v>
      </c>
    </row>
    <row r="2217" spans="1:30" s="205" customFormat="1" ht="36.5" customHeight="1">
      <c r="A2217" s="4" t="s">
        <v>6163</v>
      </c>
      <c r="B2217" s="4" t="s">
        <v>6709</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6712</v>
      </c>
    </row>
    <row r="2218" spans="1:30" s="205" customFormat="1" ht="36.5" customHeight="1">
      <c r="A2218" s="4" t="s">
        <v>6164</v>
      </c>
      <c r="B2218" s="4" t="s">
        <v>6710</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6712</v>
      </c>
    </row>
    <row r="2219" spans="1:30" s="205" customFormat="1" ht="36.5" customHeight="1">
      <c r="A2219" s="4" t="s">
        <v>6165</v>
      </c>
      <c r="B2219" s="4" t="s">
        <v>6711</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6166</v>
      </c>
      <c r="B2220" s="19" t="s">
        <v>6221</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6167</v>
      </c>
      <c r="B2221" s="19" t="s">
        <v>6222</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6168</v>
      </c>
      <c r="B2226" s="4" t="s">
        <v>6227</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6168</v>
      </c>
      <c r="B2227" s="4" t="s">
        <v>6228</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6715</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6169</v>
      </c>
      <c r="B2229" s="4" t="s">
        <v>6229</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6169</v>
      </c>
      <c r="B2230" s="4" t="s">
        <v>6716</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6169</v>
      </c>
      <c r="B2231" s="4" t="s">
        <v>6717</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6169</v>
      </c>
      <c r="B2232" s="4" t="s">
        <v>6718</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6169</v>
      </c>
      <c r="B2233" s="4" t="s">
        <v>6719</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6169</v>
      </c>
      <c r="B2234" s="4" t="s">
        <v>6720</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6169</v>
      </c>
      <c r="B2235" s="4" t="s">
        <v>6721</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6722</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6723</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6724</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6725</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6726</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6727</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6171</v>
      </c>
      <c r="B2243" s="4" t="s">
        <v>6231</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6171</v>
      </c>
      <c r="B2244" s="4" t="s">
        <v>6728</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6171</v>
      </c>
      <c r="B2245" s="4" t="s">
        <v>6729</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6171</v>
      </c>
      <c r="B2246" s="4" t="s">
        <v>6730</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6171</v>
      </c>
      <c r="B2247" s="4" t="s">
        <v>6731</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6171</v>
      </c>
      <c r="B2248" s="4" t="s">
        <v>6732</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6171</v>
      </c>
      <c r="B2249" s="4" t="s">
        <v>6733</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6172</v>
      </c>
      <c r="B2250" s="4" t="s">
        <v>6232</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6172</v>
      </c>
      <c r="B2251" s="4" t="s">
        <v>6734</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6172</v>
      </c>
      <c r="B2252" s="4" t="s">
        <v>6735</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6172</v>
      </c>
      <c r="B2253" s="4" t="s">
        <v>6736</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6172</v>
      </c>
      <c r="B2254" s="4" t="s">
        <v>6737</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6172</v>
      </c>
      <c r="B2255" s="4" t="s">
        <v>6738</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6172</v>
      </c>
      <c r="B2256" s="4" t="s">
        <v>6739</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6740</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6741</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6742</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6743</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6173</v>
      </c>
      <c r="B2262" s="4" t="s">
        <v>6744</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6745</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6174</v>
      </c>
      <c r="B2264" s="4" t="s">
        <v>6234</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6174</v>
      </c>
      <c r="B2265" s="4" t="s">
        <v>6746</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6174</v>
      </c>
      <c r="B2266" s="4" t="s">
        <v>6747</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6174</v>
      </c>
      <c r="B2267" s="4" t="s">
        <v>6748</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6174</v>
      </c>
      <c r="B2268" s="4" t="s">
        <v>6749</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6174</v>
      </c>
      <c r="B2269" s="4" t="s">
        <v>6750</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6174</v>
      </c>
      <c r="B2270" s="4" t="s">
        <v>6751</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6175</v>
      </c>
      <c r="B2271" s="4" t="s">
        <v>6235</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6175</v>
      </c>
      <c r="B2272" s="4" t="s">
        <v>6752</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6175</v>
      </c>
      <c r="B2273" s="4" t="s">
        <v>6753</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6175</v>
      </c>
      <c r="B2274" s="4" t="s">
        <v>6754</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6175</v>
      </c>
      <c r="B2275" s="4" t="s">
        <v>6755</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6175</v>
      </c>
      <c r="B2276" s="4" t="s">
        <v>6756</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6175</v>
      </c>
      <c r="B2277" s="4" t="s">
        <v>6757</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6176</v>
      </c>
      <c r="B2278" s="4" t="s">
        <v>6236</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6176</v>
      </c>
      <c r="B2279" s="4" t="s">
        <v>6758</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6176</v>
      </c>
      <c r="B2280" s="4" t="s">
        <v>6759</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6176</v>
      </c>
      <c r="B2281" s="4" t="s">
        <v>6760</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6176</v>
      </c>
      <c r="B2282" s="4" t="s">
        <v>6761</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6176</v>
      </c>
      <c r="B2283" s="4" t="s">
        <v>6762</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6176</v>
      </c>
      <c r="B2284" s="4" t="s">
        <v>6763</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6177</v>
      </c>
      <c r="B2285" s="4" t="s">
        <v>6237</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6177</v>
      </c>
      <c r="B2286" s="4" t="s">
        <v>6764</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6177</v>
      </c>
      <c r="B2287" s="4" t="s">
        <v>6765</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6177</v>
      </c>
      <c r="B2288" s="4" t="s">
        <v>6766</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6177</v>
      </c>
      <c r="B2289" s="4" t="s">
        <v>6767</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6177</v>
      </c>
      <c r="B2290" s="4" t="s">
        <v>6768</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6177</v>
      </c>
      <c r="B2291" s="4" t="s">
        <v>6769</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6178</v>
      </c>
      <c r="B2292" s="4" t="s">
        <v>6238</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6178</v>
      </c>
      <c r="B2293" s="4" t="s">
        <v>6770</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6178</v>
      </c>
      <c r="B2294" s="4" t="s">
        <v>6771</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6178</v>
      </c>
      <c r="B2295" s="4" t="s">
        <v>6772</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6178</v>
      </c>
      <c r="B2296" s="4" t="s">
        <v>6773</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6178</v>
      </c>
      <c r="B2297" s="4" t="s">
        <v>6774</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6178</v>
      </c>
      <c r="B2298" s="4" t="s">
        <v>6775</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6179</v>
      </c>
      <c r="B2299" s="4" t="s">
        <v>6239</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6179</v>
      </c>
      <c r="B2300" s="4" t="s">
        <v>6776</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6179</v>
      </c>
      <c r="B2301" s="4" t="s">
        <v>6777</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6179</v>
      </c>
      <c r="B2302" s="4" t="s">
        <v>6778</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6179</v>
      </c>
      <c r="B2303" s="4" t="s">
        <v>6779</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6179</v>
      </c>
      <c r="B2304" s="4" t="s">
        <v>6780</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6179</v>
      </c>
      <c r="B2305" s="4" t="s">
        <v>6781</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6180</v>
      </c>
      <c r="B2306" s="4" t="s">
        <v>6240</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6180</v>
      </c>
      <c r="B2307" s="4" t="s">
        <v>6263</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6180</v>
      </c>
      <c r="B2308" s="4" t="s">
        <v>6264</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6790</v>
      </c>
      <c r="AD2310" s="4"/>
    </row>
    <row r="2311" spans="1:30" s="205" customFormat="1" ht="48" customHeight="1">
      <c r="A2311" s="4" t="s">
        <v>6182</v>
      </c>
      <c r="B2311" s="4" t="s">
        <v>6791</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6793</v>
      </c>
      <c r="AD2311" s="4"/>
    </row>
    <row r="2312" spans="1:30" s="205" customFormat="1" ht="48" customHeight="1">
      <c r="A2312" s="4" t="s">
        <v>6182</v>
      </c>
      <c r="B2312" s="4" t="s">
        <v>6792</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6793</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6183</v>
      </c>
      <c r="B2314" s="4" t="s">
        <v>6794</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6796</v>
      </c>
    </row>
    <row r="2315" spans="1:30" s="205" customFormat="1" ht="65.5" customHeight="1">
      <c r="A2315" s="4" t="s">
        <v>6183</v>
      </c>
      <c r="B2315" s="4" t="s">
        <v>6795</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6184</v>
      </c>
      <c r="B2316" s="4" t="s">
        <v>6246</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6184</v>
      </c>
      <c r="B2317" s="4" t="s">
        <v>6905</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6184</v>
      </c>
      <c r="B2318" s="4" t="s">
        <v>6906</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6184</v>
      </c>
      <c r="B2319" s="4" t="s">
        <v>6907</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6184</v>
      </c>
      <c r="B2320" s="4" t="s">
        <v>6908</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6184</v>
      </c>
      <c r="B2321" s="4" t="s">
        <v>6909</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6184</v>
      </c>
      <c r="B2322" s="4" t="s">
        <v>6910</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6184</v>
      </c>
      <c r="B2323" s="4" t="s">
        <v>6911</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6916</v>
      </c>
      <c r="AD2323" s="4"/>
    </row>
    <row r="2324" spans="1:30" s="205" customFormat="1" ht="65.5" customHeight="1">
      <c r="A2324" s="4" t="s">
        <v>6184</v>
      </c>
      <c r="B2324" s="4" t="s">
        <v>6912</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6916</v>
      </c>
      <c r="AD2324" s="4"/>
    </row>
    <row r="2325" spans="1:30" s="205" customFormat="1" ht="65.5" customHeight="1">
      <c r="A2325" s="4" t="s">
        <v>6184</v>
      </c>
      <c r="B2325" s="4" t="s">
        <v>6913</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D2325" s="4"/>
    </row>
    <row r="2326" spans="1:30" s="205" customFormat="1" ht="65.5" customHeight="1">
      <c r="A2326" s="4" t="s">
        <v>6184</v>
      </c>
      <c r="B2326" s="4" t="s">
        <v>6914</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6184</v>
      </c>
      <c r="B2327" s="4" t="s">
        <v>6927</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6915</v>
      </c>
      <c r="AD2327" s="4"/>
    </row>
    <row r="2328" spans="1:30" s="205" customFormat="1" ht="65.5" customHeight="1">
      <c r="A2328" s="4" t="s">
        <v>6184</v>
      </c>
      <c r="B2328" s="4" t="s">
        <v>6928</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6918</v>
      </c>
      <c r="AD2329" s="4"/>
    </row>
    <row r="2330" spans="1:30" s="205" customFormat="1" ht="53" customHeight="1">
      <c r="A2330" s="4" t="s">
        <v>6185</v>
      </c>
      <c r="B2330" s="4" t="s">
        <v>6919</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6185</v>
      </c>
      <c r="B2331" s="4" t="s">
        <v>6920</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6185</v>
      </c>
      <c r="B2332" s="4" t="s">
        <v>6921</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6185</v>
      </c>
      <c r="B2333" s="4" t="s">
        <v>6922</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6185</v>
      </c>
      <c r="B2334" s="4" t="s">
        <v>6923</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6185</v>
      </c>
      <c r="B2335" s="4" t="s">
        <v>6924</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6185</v>
      </c>
      <c r="B2336" s="4" t="s">
        <v>6925</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D2336" s="4"/>
    </row>
    <row r="2337" spans="1:30" s="205" customFormat="1" ht="49" customHeight="1">
      <c r="A2337" s="4" t="s">
        <v>6185</v>
      </c>
      <c r="B2337" s="4" t="s">
        <v>6926</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6186</v>
      </c>
      <c r="B2339" s="4" t="s">
        <v>6930</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6186</v>
      </c>
      <c r="B2340" s="4" t="s">
        <v>6931</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6186</v>
      </c>
      <c r="B2341" s="4" t="s">
        <v>6932</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6186</v>
      </c>
      <c r="B2342" s="4" t="s">
        <v>6933</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6186</v>
      </c>
      <c r="B2343" s="4" t="s">
        <v>6934</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6186</v>
      </c>
      <c r="B2344" s="4" t="s">
        <v>6935</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6186</v>
      </c>
      <c r="B2345" s="4" t="s">
        <v>6936</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6186</v>
      </c>
      <c r="B2346" s="4" t="s">
        <v>6937</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6902</v>
      </c>
      <c r="B2347" s="4" t="s">
        <v>6938</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6902</v>
      </c>
      <c r="B2348" s="4" t="s">
        <v>6939</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6902</v>
      </c>
      <c r="B2349" s="4" t="s">
        <v>6940</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6902</v>
      </c>
      <c r="B2350" s="4" t="s">
        <v>6941</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6902</v>
      </c>
      <c r="B2351" s="4" t="s">
        <v>6942</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6902</v>
      </c>
      <c r="B2352" s="4" t="s">
        <v>6943</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6902</v>
      </c>
      <c r="B2353" s="4" t="s">
        <v>6944</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6902</v>
      </c>
      <c r="B2354" s="4" t="s">
        <v>6945</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6902</v>
      </c>
      <c r="B2355" s="4" t="s">
        <v>6946</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6903</v>
      </c>
      <c r="B2356" s="4" t="s">
        <v>6947</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6903</v>
      </c>
      <c r="B2357" s="4" t="s">
        <v>6948</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6903</v>
      </c>
      <c r="B2358" s="4" t="s">
        <v>6949</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6903</v>
      </c>
      <c r="B2359" s="4" t="s">
        <v>6950</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6903</v>
      </c>
      <c r="B2360" s="4" t="s">
        <v>6951</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6903</v>
      </c>
      <c r="B2361" s="4" t="s">
        <v>6952</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6903</v>
      </c>
      <c r="B2362" s="4" t="s">
        <v>6953</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6903</v>
      </c>
      <c r="B2363" s="4" t="s">
        <v>6954</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6903</v>
      </c>
      <c r="B2364" s="4" t="s">
        <v>6955</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6904</v>
      </c>
      <c r="B2365" s="4" t="s">
        <v>6956</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6904</v>
      </c>
      <c r="B2366" s="4" t="s">
        <v>6957</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6904</v>
      </c>
      <c r="B2367" s="4" t="s">
        <v>6958</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6904</v>
      </c>
      <c r="B2368" s="4" t="s">
        <v>6959</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6904</v>
      </c>
      <c r="B2369" s="4" t="s">
        <v>6960</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6904</v>
      </c>
      <c r="B2370" s="4" t="s">
        <v>6961</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6904</v>
      </c>
      <c r="B2371" s="4" t="s">
        <v>6962</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6904</v>
      </c>
      <c r="B2372" s="4" t="s">
        <v>6963</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6904</v>
      </c>
      <c r="B2373" s="4" t="s">
        <v>6964</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6929</v>
      </c>
      <c r="B2374" s="4" t="s">
        <v>6965</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6929</v>
      </c>
      <c r="B2375" s="4" t="s">
        <v>6966</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6929</v>
      </c>
      <c r="B2376" s="4" t="s">
        <v>6967</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6929</v>
      </c>
      <c r="B2377" s="4" t="s">
        <v>6968</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6929</v>
      </c>
      <c r="B2378" s="4" t="s">
        <v>6969</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6929</v>
      </c>
      <c r="B2379" s="4" t="s">
        <v>6970</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6929</v>
      </c>
      <c r="B2380" s="4" t="s">
        <v>6971</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6929</v>
      </c>
      <c r="B2381" s="4" t="s">
        <v>6972</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6929</v>
      </c>
      <c r="B2382" s="4" t="s">
        <v>6973</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6365</v>
      </c>
      <c r="B2383" s="4" t="s">
        <v>6460</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6436</v>
      </c>
      <c r="AD2383" s="4" t="s">
        <v>6437</v>
      </c>
    </row>
    <row r="2384" spans="1:30" ht="29">
      <c r="A2384" s="4" t="s">
        <v>6365</v>
      </c>
      <c r="B2384" s="4" t="s">
        <v>6461</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6436</v>
      </c>
      <c r="AD2384" s="4" t="s">
        <v>6437</v>
      </c>
    </row>
    <row r="2385" spans="1:30" ht="29">
      <c r="A2385" s="4" t="s">
        <v>6366</v>
      </c>
      <c r="B2385" s="4" t="s">
        <v>6462</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 t="shared" ref="U2385" si="2">100*2/177*((177)/(177+869+94))</f>
        <v>0.17543859649122809</v>
      </c>
      <c r="V2385" s="4" t="s">
        <v>2276</v>
      </c>
      <c r="W2385" s="4" t="s">
        <v>2276</v>
      </c>
      <c r="X2385" s="4" t="s">
        <v>2276</v>
      </c>
      <c r="Y2385" s="4" t="s">
        <v>2276</v>
      </c>
      <c r="Z2385" s="4" t="s">
        <v>399</v>
      </c>
      <c r="AA2385" s="4" t="s">
        <v>38</v>
      </c>
      <c r="AB2385" s="4" t="s">
        <v>64</v>
      </c>
      <c r="AC2385" s="4" t="s">
        <v>6436</v>
      </c>
      <c r="AD2385" s="4" t="s">
        <v>6437</v>
      </c>
    </row>
    <row r="2386" spans="1:30" ht="29">
      <c r="A2386" s="4" t="s">
        <v>6366</v>
      </c>
      <c r="B2386" s="4" t="s">
        <v>6463</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 t="shared" ref="U2386" si="3">100*(53+657+141*1/9+15*1/9)/(869+94)*((869+94)/(177+869+94))</f>
        <v>63.801169590643269</v>
      </c>
      <c r="V2386" s="4" t="s">
        <v>2276</v>
      </c>
      <c r="W2386" s="4" t="s">
        <v>2276</v>
      </c>
      <c r="X2386" s="4" t="s">
        <v>2276</v>
      </c>
      <c r="Y2386" s="4" t="s">
        <v>2276</v>
      </c>
      <c r="Z2386" s="4" t="s">
        <v>399</v>
      </c>
      <c r="AA2386" s="4" t="s">
        <v>38</v>
      </c>
      <c r="AB2386" s="4" t="s">
        <v>64</v>
      </c>
      <c r="AC2386" s="4" t="s">
        <v>6436</v>
      </c>
      <c r="AD2386" s="4" t="s">
        <v>6437</v>
      </c>
    </row>
    <row r="2387" spans="1:30" ht="29">
      <c r="A2387" s="4" t="s">
        <v>6367</v>
      </c>
      <c r="B2387" s="4" t="s">
        <v>6464</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 t="shared" ref="U2387" si="4">100*2/177*((177)/(177+869+94))</f>
        <v>0.17543859649122809</v>
      </c>
      <c r="V2387" s="4" t="s">
        <v>2276</v>
      </c>
      <c r="W2387" s="4" t="s">
        <v>2276</v>
      </c>
      <c r="X2387" s="4" t="s">
        <v>2276</v>
      </c>
      <c r="Y2387" s="4" t="s">
        <v>2276</v>
      </c>
      <c r="Z2387" s="4" t="s">
        <v>399</v>
      </c>
      <c r="AA2387" s="4" t="s">
        <v>38</v>
      </c>
      <c r="AB2387" s="4" t="s">
        <v>64</v>
      </c>
      <c r="AC2387" s="4" t="s">
        <v>6436</v>
      </c>
      <c r="AD2387" s="4" t="s">
        <v>6437</v>
      </c>
    </row>
    <row r="2388" spans="1:30" ht="29">
      <c r="A2388" s="4" t="s">
        <v>6367</v>
      </c>
      <c r="B2388" s="4" t="s">
        <v>6465</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 t="shared" ref="U2388" si="5">100*(53+657+141*1/9+15*1/9)/(869+94)*((869+94)/(177+869+94))</f>
        <v>63.801169590643269</v>
      </c>
      <c r="V2388" s="4" t="s">
        <v>2276</v>
      </c>
      <c r="W2388" s="4" t="s">
        <v>2276</v>
      </c>
      <c r="X2388" s="4" t="s">
        <v>2276</v>
      </c>
      <c r="Y2388" s="4" t="s">
        <v>2276</v>
      </c>
      <c r="Z2388" s="4" t="s">
        <v>399</v>
      </c>
      <c r="AA2388" s="4" t="s">
        <v>38</v>
      </c>
      <c r="AB2388" s="4" t="s">
        <v>64</v>
      </c>
      <c r="AC2388" s="4" t="s">
        <v>6436</v>
      </c>
      <c r="AD2388" s="4" t="s">
        <v>6437</v>
      </c>
    </row>
    <row r="2389" spans="1:30" ht="58">
      <c r="A2389" s="4" t="s">
        <v>6368</v>
      </c>
      <c r="B2389" s="4" t="s">
        <v>6466</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6438</v>
      </c>
      <c r="AD2389" s="4" t="s">
        <v>6439</v>
      </c>
    </row>
    <row r="2390" spans="1:30" ht="58">
      <c r="A2390" s="4" t="s">
        <v>6368</v>
      </c>
      <c r="B2390" s="4" t="s">
        <v>6467</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6440</v>
      </c>
      <c r="AD2390" s="4" t="s">
        <v>6439</v>
      </c>
    </row>
    <row r="2391" spans="1:30" ht="58">
      <c r="A2391" s="4" t="s">
        <v>6368</v>
      </c>
      <c r="B2391" s="4" t="s">
        <v>6468</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6441</v>
      </c>
      <c r="AD2391" s="4" t="s">
        <v>6439</v>
      </c>
    </row>
    <row r="2392" spans="1:30" ht="58">
      <c r="A2392" s="4" t="s">
        <v>6368</v>
      </c>
      <c r="B2392" s="4" t="s">
        <v>6469</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6440</v>
      </c>
      <c r="AD2392" s="4" t="s">
        <v>6439</v>
      </c>
    </row>
    <row r="2393" spans="1:30" ht="58">
      <c r="A2393" s="4" t="s">
        <v>6368</v>
      </c>
      <c r="B2393" s="4" t="s">
        <v>6470</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6442</v>
      </c>
      <c r="AD2393" s="4" t="s">
        <v>6439</v>
      </c>
    </row>
    <row r="2394" spans="1:30" ht="58">
      <c r="A2394" s="4" t="s">
        <v>6368</v>
      </c>
      <c r="B2394" s="4" t="s">
        <v>6471</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6440</v>
      </c>
      <c r="AD2394" s="4" t="s">
        <v>6439</v>
      </c>
    </row>
    <row r="2395" spans="1:30" ht="58">
      <c r="A2395" s="4" t="s">
        <v>6368</v>
      </c>
      <c r="B2395" s="4" t="s">
        <v>6472</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6438</v>
      </c>
      <c r="AD2395" s="4" t="s">
        <v>6439</v>
      </c>
    </row>
    <row r="2396" spans="1:30" ht="58">
      <c r="A2396" s="4" t="s">
        <v>6368</v>
      </c>
      <c r="B2396" s="4" t="s">
        <v>6473</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6440</v>
      </c>
      <c r="AD2396" s="4" t="s">
        <v>6439</v>
      </c>
    </row>
    <row r="2397" spans="1:30" ht="58">
      <c r="A2397" s="4" t="s">
        <v>6368</v>
      </c>
      <c r="B2397" s="4" t="s">
        <v>6474</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6441</v>
      </c>
      <c r="AD2397" s="4" t="s">
        <v>6439</v>
      </c>
    </row>
    <row r="2398" spans="1:30" ht="58">
      <c r="A2398" s="4" t="s">
        <v>6368</v>
      </c>
      <c r="B2398" s="4" t="s">
        <v>6475</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6440</v>
      </c>
      <c r="AD2398" s="4" t="s">
        <v>6439</v>
      </c>
    </row>
    <row r="2399" spans="1:30" ht="58">
      <c r="A2399" s="4" t="s">
        <v>6368</v>
      </c>
      <c r="B2399" s="4" t="s">
        <v>6476</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6442</v>
      </c>
      <c r="AD2399" s="4" t="s">
        <v>6439</v>
      </c>
    </row>
    <row r="2400" spans="1:30" ht="58">
      <c r="A2400" s="4" t="s">
        <v>6368</v>
      </c>
      <c r="B2400" s="4" t="s">
        <v>6477</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6440</v>
      </c>
      <c r="AD2400" s="4" t="s">
        <v>6439</v>
      </c>
    </row>
    <row r="2401" spans="1:30" ht="89.5" customHeight="1">
      <c r="A2401" s="4" t="s">
        <v>6328</v>
      </c>
      <c r="B2401" s="4" t="s">
        <v>6478</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6438</v>
      </c>
      <c r="AD2401" s="4" t="s">
        <v>8381</v>
      </c>
    </row>
    <row r="2402" spans="1:30" ht="96" customHeight="1">
      <c r="A2402" s="4" t="s">
        <v>6328</v>
      </c>
      <c r="B2402" s="4" t="s">
        <v>6479</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6440</v>
      </c>
      <c r="AD2402" s="4" t="s">
        <v>8381</v>
      </c>
    </row>
    <row r="2403" spans="1:30" ht="87">
      <c r="A2403" s="4" t="s">
        <v>6329</v>
      </c>
      <c r="B2403" s="4" t="s">
        <v>6480</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6438</v>
      </c>
      <c r="AD2403" s="4" t="s">
        <v>8381</v>
      </c>
    </row>
    <row r="2404" spans="1:30" ht="87">
      <c r="A2404" s="4" t="s">
        <v>6329</v>
      </c>
      <c r="B2404" s="4" t="s">
        <v>6481</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6440</v>
      </c>
      <c r="AD2404" s="4" t="s">
        <v>8381</v>
      </c>
    </row>
    <row r="2405" spans="1:30" ht="87">
      <c r="A2405" s="4" t="s">
        <v>6330</v>
      </c>
      <c r="B2405" s="4" t="s">
        <v>6482</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6443</v>
      </c>
      <c r="AD2405" s="4" t="s">
        <v>8381</v>
      </c>
    </row>
    <row r="2406" spans="1:30" s="203" customFormat="1" ht="53.5" customHeight="1">
      <c r="A2406" s="4" t="s">
        <v>6330</v>
      </c>
      <c r="B2406" s="4" t="s">
        <v>6483</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8382</v>
      </c>
      <c r="AD2406" s="4"/>
    </row>
    <row r="2407" spans="1:30" ht="87">
      <c r="A2407" s="4" t="s">
        <v>6331</v>
      </c>
      <c r="B2407" s="4" t="s">
        <v>6484</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6444</v>
      </c>
      <c r="AD2407" s="4" t="s">
        <v>8381</v>
      </c>
    </row>
    <row r="2408" spans="1:30" ht="87">
      <c r="A2408" s="4" t="s">
        <v>6331</v>
      </c>
      <c r="B2408" s="4" t="s">
        <v>6485</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6445</v>
      </c>
      <c r="AD2408" s="4" t="s">
        <v>8381</v>
      </c>
    </row>
    <row r="2409" spans="1:30" ht="29">
      <c r="A2409" s="4" t="s">
        <v>6332</v>
      </c>
      <c r="B2409" s="4" t="s">
        <v>6486</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6444</v>
      </c>
      <c r="AD2409" s="4"/>
    </row>
    <row r="2410" spans="1:30" ht="29">
      <c r="A2410" s="4" t="s">
        <v>6332</v>
      </c>
      <c r="B2410" s="4" t="s">
        <v>6487</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6445</v>
      </c>
      <c r="AD2410" s="4"/>
    </row>
    <row r="2411" spans="1:30" ht="29">
      <c r="A2411" s="4" t="s">
        <v>6333</v>
      </c>
      <c r="B2411" s="4" t="s">
        <v>6488</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6444</v>
      </c>
      <c r="AD2411" s="4"/>
    </row>
    <row r="2412" spans="1:30" ht="87">
      <c r="A2412" s="4" t="s">
        <v>6333</v>
      </c>
      <c r="B2412" s="4" t="s">
        <v>6489</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6445</v>
      </c>
      <c r="AD2412" s="4" t="s">
        <v>8381</v>
      </c>
    </row>
    <row r="2413" spans="1:30" ht="42.5" customHeight="1">
      <c r="A2413" s="4" t="s">
        <v>6334</v>
      </c>
      <c r="B2413" s="4" t="s">
        <v>6490</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6446</v>
      </c>
      <c r="AD2413" s="4"/>
    </row>
    <row r="2414" spans="1:30" ht="42.5" customHeight="1">
      <c r="A2414" s="4" t="s">
        <v>6334</v>
      </c>
      <c r="B2414" s="4" t="s">
        <v>6491</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6447</v>
      </c>
      <c r="AD2414" s="4"/>
    </row>
    <row r="2415" spans="1:30" ht="87">
      <c r="A2415" s="4" t="s">
        <v>6335</v>
      </c>
      <c r="B2415" s="4" t="s">
        <v>6492</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6444</v>
      </c>
      <c r="AD2415" s="4" t="s">
        <v>8381</v>
      </c>
    </row>
    <row r="2416" spans="1:30" ht="87">
      <c r="A2416" s="4" t="s">
        <v>6335</v>
      </c>
      <c r="B2416" s="4" t="s">
        <v>6493</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6445</v>
      </c>
      <c r="AD2416" s="4" t="s">
        <v>8381</v>
      </c>
    </row>
    <row r="2417" spans="1:30" ht="87">
      <c r="A2417" s="4" t="s">
        <v>6336</v>
      </c>
      <c r="B2417" s="4" t="s">
        <v>6494</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6448</v>
      </c>
      <c r="AD2417" s="4" t="s">
        <v>8381</v>
      </c>
    </row>
    <row r="2418" spans="1:30" ht="87">
      <c r="A2418" s="4" t="s">
        <v>6336</v>
      </c>
      <c r="B2418" s="4" t="s">
        <v>6495</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6449</v>
      </c>
      <c r="AD2418" s="4" t="s">
        <v>8381</v>
      </c>
    </row>
    <row r="2419" spans="1:30" ht="87">
      <c r="A2419" s="4" t="s">
        <v>6337</v>
      </c>
      <c r="B2419" s="4" t="s">
        <v>6496</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6450</v>
      </c>
      <c r="AD2419" s="4" t="s">
        <v>8381</v>
      </c>
    </row>
    <row r="2420" spans="1:30" ht="87">
      <c r="A2420" s="4" t="s">
        <v>6337</v>
      </c>
      <c r="B2420" s="4" t="s">
        <v>6497</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6450</v>
      </c>
      <c r="AD2420" s="4" t="s">
        <v>8381</v>
      </c>
    </row>
    <row r="2421" spans="1:30" ht="87">
      <c r="A2421" s="4" t="s">
        <v>6338</v>
      </c>
      <c r="B2421" s="4" t="s">
        <v>6498</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6450</v>
      </c>
      <c r="AD2421" s="4" t="s">
        <v>8381</v>
      </c>
    </row>
    <row r="2422" spans="1:30" ht="87">
      <c r="A2422" s="4" t="s">
        <v>6338</v>
      </c>
      <c r="B2422" s="4" t="s">
        <v>6499</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6450</v>
      </c>
      <c r="AD2422" s="4" t="s">
        <v>8381</v>
      </c>
    </row>
    <row r="2423" spans="1:30" ht="29">
      <c r="A2423" s="4" t="s">
        <v>6339</v>
      </c>
      <c r="B2423" s="4" t="s">
        <v>6500</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6450</v>
      </c>
      <c r="AD2423" s="4"/>
    </row>
    <row r="2424" spans="1:30" ht="29">
      <c r="A2424" s="4" t="s">
        <v>6339</v>
      </c>
      <c r="B2424" s="4" t="s">
        <v>6501</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6450</v>
      </c>
      <c r="AD2424" s="4"/>
    </row>
    <row r="2425" spans="1:30" ht="29">
      <c r="A2425" s="4" t="s">
        <v>6341</v>
      </c>
      <c r="B2425" s="4" t="s">
        <v>6502</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6451</v>
      </c>
      <c r="AD2425" s="4" t="s">
        <v>8396</v>
      </c>
    </row>
    <row r="2426" spans="1:30" ht="29">
      <c r="A2426" s="4" t="s">
        <v>6341</v>
      </c>
      <c r="B2426" s="4" t="s">
        <v>6503</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6451</v>
      </c>
      <c r="AD2426" s="4" t="s">
        <v>8396</v>
      </c>
    </row>
    <row r="2427" spans="1:30" ht="29">
      <c r="A2427" s="4" t="s">
        <v>6341</v>
      </c>
      <c r="B2427" s="4" t="s">
        <v>6504</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6451</v>
      </c>
      <c r="AD2427" s="4" t="s">
        <v>8396</v>
      </c>
    </row>
    <row r="2428" spans="1:30" ht="29">
      <c r="A2428" s="4" t="s">
        <v>6505</v>
      </c>
      <c r="B2428" s="4" t="s">
        <v>6506</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6451</v>
      </c>
      <c r="AD2428" s="4" t="s">
        <v>8396</v>
      </c>
    </row>
    <row r="2429" spans="1:30" ht="29">
      <c r="A2429" s="4" t="s">
        <v>6505</v>
      </c>
      <c r="B2429" s="4" t="s">
        <v>6507</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6451</v>
      </c>
      <c r="AD2429" s="4" t="s">
        <v>8396</v>
      </c>
    </row>
    <row r="2430" spans="1:30" ht="29">
      <c r="A2430" s="4" t="s">
        <v>6505</v>
      </c>
      <c r="B2430" s="4" t="s">
        <v>6508</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6451</v>
      </c>
      <c r="AD2430" s="4" t="s">
        <v>8396</v>
      </c>
    </row>
    <row r="2431" spans="1:30" ht="29">
      <c r="A2431" s="4" t="s">
        <v>6342</v>
      </c>
      <c r="B2431" s="4" t="s">
        <v>6509</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6451</v>
      </c>
      <c r="AD2431" s="4" t="s">
        <v>8396</v>
      </c>
    </row>
    <row r="2432" spans="1:30" ht="29">
      <c r="A2432" s="4" t="s">
        <v>6342</v>
      </c>
      <c r="B2432" s="4" t="s">
        <v>6510</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6451</v>
      </c>
      <c r="AD2432" s="4" t="s">
        <v>8396</v>
      </c>
    </row>
    <row r="2433" spans="1:30" ht="29">
      <c r="A2433" s="4" t="s">
        <v>6342</v>
      </c>
      <c r="B2433" s="4" t="s">
        <v>6511</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6451</v>
      </c>
      <c r="AD2433" s="4" t="s">
        <v>8396</v>
      </c>
    </row>
    <row r="2434" spans="1:30" ht="29">
      <c r="A2434" s="4" t="s">
        <v>6343</v>
      </c>
      <c r="B2434" s="4" t="s">
        <v>6512</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6451</v>
      </c>
      <c r="AD2434" s="4" t="s">
        <v>8396</v>
      </c>
    </row>
    <row r="2435" spans="1:30" ht="29">
      <c r="A2435" s="4" t="s">
        <v>6343</v>
      </c>
      <c r="B2435" s="4" t="s">
        <v>6513</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6451</v>
      </c>
      <c r="AD2435" s="4" t="s">
        <v>8396</v>
      </c>
    </row>
    <row r="2436" spans="1:30" ht="29">
      <c r="A2436" s="4" t="s">
        <v>6343</v>
      </c>
      <c r="B2436" s="4" t="s">
        <v>6514</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6451</v>
      </c>
      <c r="AD2436" s="4" t="s">
        <v>8396</v>
      </c>
    </row>
    <row r="2437" spans="1:30" ht="29">
      <c r="A2437" s="4" t="s">
        <v>6344</v>
      </c>
      <c r="B2437" s="4" t="s">
        <v>6515</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6451</v>
      </c>
      <c r="AD2437" s="4" t="s">
        <v>8396</v>
      </c>
    </row>
    <row r="2438" spans="1:30" ht="29">
      <c r="A2438" s="4" t="s">
        <v>6344</v>
      </c>
      <c r="B2438" s="4" t="s">
        <v>6516</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6451</v>
      </c>
      <c r="AD2438" s="4" t="s">
        <v>8396</v>
      </c>
    </row>
    <row r="2439" spans="1:30" ht="29">
      <c r="A2439" s="4" t="s">
        <v>6344</v>
      </c>
      <c r="B2439" s="4" t="s">
        <v>6517</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6451</v>
      </c>
      <c r="AD2439" s="4" t="s">
        <v>8396</v>
      </c>
    </row>
    <row r="2440" spans="1:30" ht="29">
      <c r="A2440" s="4" t="s">
        <v>6345</v>
      </c>
      <c r="B2440" s="4" t="s">
        <v>6518</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6451</v>
      </c>
      <c r="AD2440" s="4" t="s">
        <v>8396</v>
      </c>
    </row>
    <row r="2441" spans="1:30" ht="29">
      <c r="A2441" s="4" t="s">
        <v>6345</v>
      </c>
      <c r="B2441" s="4" t="s">
        <v>6519</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6451</v>
      </c>
      <c r="AD2441" s="4" t="s">
        <v>8396</v>
      </c>
    </row>
    <row r="2442" spans="1:30" ht="29">
      <c r="A2442" s="4" t="s">
        <v>6345</v>
      </c>
      <c r="B2442" s="4" t="s">
        <v>6520</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6451</v>
      </c>
      <c r="AD2442" s="4" t="s">
        <v>8396</v>
      </c>
    </row>
    <row r="2443" spans="1:30" ht="29">
      <c r="A2443" s="4" t="s">
        <v>8400</v>
      </c>
      <c r="B2443" s="4" t="s">
        <v>8402</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8401</v>
      </c>
      <c r="B2444" s="4" t="s">
        <v>8403</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6346</v>
      </c>
      <c r="B2445" s="4" t="s">
        <v>6521</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6452</v>
      </c>
      <c r="AD2445" s="4"/>
    </row>
    <row r="2446" spans="1:30" ht="29">
      <c r="A2446" s="4" t="s">
        <v>6346</v>
      </c>
      <c r="B2446" s="4" t="s">
        <v>6522</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6453</v>
      </c>
      <c r="AD2446" s="4"/>
    </row>
    <row r="2447" spans="1:30" ht="29">
      <c r="A2447" s="4" t="s">
        <v>6347</v>
      </c>
      <c r="B2447" s="4" t="s">
        <v>6523</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6454</v>
      </c>
      <c r="AD2447" s="4"/>
    </row>
    <row r="2448" spans="1:30" ht="29">
      <c r="A2448" s="4" t="s">
        <v>6347</v>
      </c>
      <c r="B2448" s="4" t="s">
        <v>6524</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6454</v>
      </c>
      <c r="AD2448" s="4"/>
    </row>
    <row r="2449" spans="1:30" ht="29">
      <c r="A2449" s="4" t="s">
        <v>6348</v>
      </c>
      <c r="B2449" s="4" t="s">
        <v>6525</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9">
        <f>100*1.9/83</f>
        <v>2.2891566265060241</v>
      </c>
      <c r="X2449" s="4" t="s">
        <v>2276</v>
      </c>
      <c r="Y2449" s="4" t="s">
        <v>2276</v>
      </c>
      <c r="Z2449" s="4" t="s">
        <v>405</v>
      </c>
      <c r="AA2449" s="4" t="s">
        <v>86</v>
      </c>
      <c r="AB2449" s="4" t="s">
        <v>64</v>
      </c>
      <c r="AC2449" s="4" t="s">
        <v>6455</v>
      </c>
      <c r="AD2449" s="4"/>
    </row>
    <row r="2450" spans="1:30" ht="29">
      <c r="A2450" s="4" t="s">
        <v>6349</v>
      </c>
      <c r="B2450" s="4" t="s">
        <v>6526</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6456</v>
      </c>
      <c r="AD2450" s="4"/>
    </row>
    <row r="2451" spans="1:30" ht="29">
      <c r="A2451" s="4" t="s">
        <v>6349</v>
      </c>
      <c r="B2451" s="4" t="s">
        <v>6527</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6457</v>
      </c>
      <c r="AD2451" s="4"/>
    </row>
    <row r="2452" spans="1:30" ht="29">
      <c r="A2452" s="4" t="s">
        <v>6350</v>
      </c>
      <c r="B2452" s="4" t="s">
        <v>6528</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6456</v>
      </c>
      <c r="AD2452" s="4"/>
    </row>
    <row r="2453" spans="1:30" ht="29">
      <c r="A2453" s="4" t="s">
        <v>6350</v>
      </c>
      <c r="B2453" s="4" t="s">
        <v>6529</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6457</v>
      </c>
      <c r="AD2453" s="4"/>
    </row>
    <row r="2454" spans="1:30" ht="29">
      <c r="A2454" s="4" t="s">
        <v>6351</v>
      </c>
      <c r="B2454" s="4" t="s">
        <v>8404</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6456</v>
      </c>
      <c r="AD2454" s="4" t="s">
        <v>8406</v>
      </c>
    </row>
    <row r="2455" spans="1:30" ht="29">
      <c r="A2455" s="4" t="s">
        <v>6351</v>
      </c>
      <c r="B2455" s="4" t="s">
        <v>8405</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6457</v>
      </c>
      <c r="AD2455" s="4" t="s">
        <v>8406</v>
      </c>
    </row>
    <row r="2456" spans="1:30" ht="32.5" customHeight="1">
      <c r="A2456" s="4" t="s">
        <v>5439</v>
      </c>
      <c r="B2456" s="4" t="s">
        <v>6530</v>
      </c>
      <c r="C2456" s="58"/>
      <c r="D2456" s="58"/>
      <c r="E2456" s="58"/>
      <c r="F2456" s="58"/>
      <c r="G2456" s="58"/>
      <c r="H2456" s="58"/>
      <c r="I2456" s="58"/>
      <c r="J2456" s="228"/>
      <c r="K2456" s="228"/>
      <c r="L2456" s="228"/>
      <c r="M2456" s="228"/>
      <c r="N2456" s="228"/>
      <c r="O2456" s="228"/>
      <c r="P2456" s="228"/>
      <c r="Q2456" s="228"/>
      <c r="R2456" s="228"/>
      <c r="S2456" s="228"/>
      <c r="T2456" s="228"/>
      <c r="U2456" s="228"/>
      <c r="V2456" s="228"/>
      <c r="W2456" s="228"/>
      <c r="X2456" s="228"/>
      <c r="Y2456" s="228"/>
      <c r="Z2456" s="58"/>
      <c r="AA2456" s="58"/>
      <c r="AB2456" s="58"/>
      <c r="AC2456" s="58"/>
      <c r="AD2456" s="58"/>
    </row>
    <row r="2457" spans="1:30" ht="42.5" customHeight="1">
      <c r="A2457" s="4" t="s">
        <v>6352</v>
      </c>
      <c r="B2457" s="4" t="s">
        <v>6531</v>
      </c>
      <c r="C2457" s="4" t="s">
        <v>24</v>
      </c>
      <c r="D2457" s="4" t="s">
        <v>2659</v>
      </c>
      <c r="E2457" s="4" t="s">
        <v>397</v>
      </c>
      <c r="F2457" s="4" t="s">
        <v>28</v>
      </c>
      <c r="G2457" s="4" t="s">
        <v>2276</v>
      </c>
      <c r="H2457" s="4" t="s">
        <v>523</v>
      </c>
      <c r="I2457" s="4"/>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4" t="s">
        <v>34</v>
      </c>
      <c r="AA2457" s="4" t="s">
        <v>404</v>
      </c>
      <c r="AB2457" s="4" t="s">
        <v>64</v>
      </c>
      <c r="AC2457" s="4" t="s">
        <v>6458</v>
      </c>
      <c r="AD2457" s="4"/>
    </row>
    <row r="2458" spans="1:30" ht="51" customHeight="1">
      <c r="A2458" s="4" t="s">
        <v>6353</v>
      </c>
      <c r="B2458" s="4" t="s">
        <v>6532</v>
      </c>
      <c r="C2458" s="4" t="s">
        <v>24</v>
      </c>
      <c r="D2458" s="4" t="s">
        <v>2659</v>
      </c>
      <c r="E2458" s="4" t="s">
        <v>396</v>
      </c>
      <c r="F2458" s="4" t="s">
        <v>28</v>
      </c>
      <c r="G2458" s="4" t="s">
        <v>2276</v>
      </c>
      <c r="H2458" s="4" t="s">
        <v>523</v>
      </c>
      <c r="I2458" s="4">
        <v>2014</v>
      </c>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75">
        <v>1</v>
      </c>
      <c r="Z2458" s="4" t="s">
        <v>399</v>
      </c>
      <c r="AA2458" s="4" t="s">
        <v>34</v>
      </c>
      <c r="AB2458" s="4" t="s">
        <v>2276</v>
      </c>
      <c r="AC2458" s="4" t="s">
        <v>6459</v>
      </c>
      <c r="AD2458" s="4"/>
    </row>
    <row r="2459" spans="1:30" ht="31" customHeight="1">
      <c r="A2459" s="4" t="s">
        <v>6402</v>
      </c>
      <c r="B2459" s="4" t="s">
        <v>6545</v>
      </c>
      <c r="C2459" s="4" t="s">
        <v>24</v>
      </c>
      <c r="D2459" s="4" t="s">
        <v>1242</v>
      </c>
      <c r="E2459" s="4" t="s">
        <v>137</v>
      </c>
      <c r="F2459" s="4" t="s">
        <v>74</v>
      </c>
      <c r="G2459" s="4" t="s">
        <v>74</v>
      </c>
      <c r="H2459" s="4" t="s">
        <v>523</v>
      </c>
      <c r="I2459" s="4"/>
      <c r="J2459" s="221" t="s">
        <v>2276</v>
      </c>
      <c r="K2459" s="221" t="s">
        <v>2276</v>
      </c>
      <c r="L2459" s="221" t="s">
        <v>2276</v>
      </c>
      <c r="M2459" s="221" t="s">
        <v>2276</v>
      </c>
      <c r="N2459" s="221" t="s">
        <v>2276</v>
      </c>
      <c r="O2459" s="221" t="s">
        <v>2276</v>
      </c>
      <c r="P2459" s="221" t="s">
        <v>2276</v>
      </c>
      <c r="Q2459" s="221" t="s">
        <v>2276</v>
      </c>
      <c r="R2459" s="221" t="s">
        <v>2276</v>
      </c>
      <c r="S2459" s="221" t="s">
        <v>2276</v>
      </c>
      <c r="T2459" s="75">
        <v>312500</v>
      </c>
      <c r="U2459" s="221" t="s">
        <v>2276</v>
      </c>
      <c r="V2459" s="75">
        <v>12.5</v>
      </c>
      <c r="W2459" s="221" t="s">
        <v>2276</v>
      </c>
      <c r="X2459" s="75">
        <v>12.5</v>
      </c>
      <c r="Y2459" s="4" t="s">
        <v>2276</v>
      </c>
      <c r="Z2459" s="4" t="s">
        <v>127</v>
      </c>
      <c r="AA2459" s="4" t="s">
        <v>38</v>
      </c>
      <c r="AB2459" s="4" t="s">
        <v>2276</v>
      </c>
      <c r="AC2459" s="4"/>
      <c r="AD2459" s="4" t="s">
        <v>6536</v>
      </c>
    </row>
    <row r="2460" spans="1:30" ht="31" customHeight="1">
      <c r="A2460" s="4" t="s">
        <v>6402</v>
      </c>
      <c r="B2460" s="4" t="s">
        <v>6546</v>
      </c>
      <c r="C2460" s="4" t="s">
        <v>2657</v>
      </c>
      <c r="D2460" s="4" t="s">
        <v>2276</v>
      </c>
      <c r="E2460" s="4" t="s">
        <v>2276</v>
      </c>
      <c r="F2460" s="4" t="s">
        <v>2276</v>
      </c>
      <c r="G2460" s="4" t="s">
        <v>2276</v>
      </c>
      <c r="H2460" s="4" t="s">
        <v>523</v>
      </c>
      <c r="I2460" s="4"/>
      <c r="J2460" s="221" t="s">
        <v>2276</v>
      </c>
      <c r="K2460" s="221" t="s">
        <v>2276</v>
      </c>
      <c r="L2460" s="221" t="s">
        <v>2276</v>
      </c>
      <c r="M2460" s="221" t="s">
        <v>2276</v>
      </c>
      <c r="N2460" s="221" t="s">
        <v>2276</v>
      </c>
      <c r="O2460" s="221" t="s">
        <v>2276</v>
      </c>
      <c r="P2460" s="221" t="s">
        <v>2276</v>
      </c>
      <c r="Q2460" s="221" t="s">
        <v>2276</v>
      </c>
      <c r="R2460" s="221" t="s">
        <v>2276</v>
      </c>
      <c r="S2460" s="221" t="s">
        <v>2276</v>
      </c>
      <c r="T2460" s="75">
        <v>7140</v>
      </c>
      <c r="U2460" s="221" t="s">
        <v>2276</v>
      </c>
      <c r="V2460" s="75">
        <v>0.3</v>
      </c>
      <c r="W2460" s="221" t="s">
        <v>2276</v>
      </c>
      <c r="X2460" s="75">
        <v>0.3</v>
      </c>
      <c r="Y2460" s="4" t="s">
        <v>2276</v>
      </c>
      <c r="Z2460" s="4" t="s">
        <v>127</v>
      </c>
      <c r="AA2460" s="4" t="s">
        <v>38</v>
      </c>
      <c r="AB2460" s="4" t="s">
        <v>2276</v>
      </c>
      <c r="AC2460" s="4"/>
      <c r="AD2460" s="4" t="s">
        <v>6537</v>
      </c>
    </row>
    <row r="2461" spans="1:30" ht="31" customHeight="1">
      <c r="A2461" s="4" t="s">
        <v>6403</v>
      </c>
      <c r="B2461" s="4" t="s">
        <v>6547</v>
      </c>
      <c r="C2461" s="4" t="s">
        <v>24</v>
      </c>
      <c r="D2461" s="4" t="s">
        <v>1242</v>
      </c>
      <c r="E2461" s="4" t="s">
        <v>137</v>
      </c>
      <c r="F2461" s="4" t="s">
        <v>74</v>
      </c>
      <c r="G2461" s="4" t="s">
        <v>74</v>
      </c>
      <c r="H2461" s="4" t="s">
        <v>523</v>
      </c>
      <c r="I2461" s="4"/>
      <c r="J2461" s="221" t="s">
        <v>2276</v>
      </c>
      <c r="K2461" s="221" t="s">
        <v>2276</v>
      </c>
      <c r="L2461" s="221" t="s">
        <v>2276</v>
      </c>
      <c r="M2461" s="221" t="s">
        <v>2276</v>
      </c>
      <c r="N2461" s="221" t="s">
        <v>2276</v>
      </c>
      <c r="O2461" s="221" t="s">
        <v>2276</v>
      </c>
      <c r="P2461" s="221" t="s">
        <v>2276</v>
      </c>
      <c r="Q2461" s="221" t="s">
        <v>2276</v>
      </c>
      <c r="R2461" s="221" t="s">
        <v>2276</v>
      </c>
      <c r="S2461" s="75">
        <v>200000</v>
      </c>
      <c r="T2461" s="75">
        <v>165000</v>
      </c>
      <c r="U2461" s="75">
        <v>8</v>
      </c>
      <c r="V2461" s="75">
        <v>6.6</v>
      </c>
      <c r="W2461" s="75">
        <v>8</v>
      </c>
      <c r="X2461" s="75">
        <v>6.6</v>
      </c>
      <c r="Y2461" s="4" t="s">
        <v>2276</v>
      </c>
      <c r="Z2461" s="4" t="s">
        <v>127</v>
      </c>
      <c r="AA2461" s="4" t="s">
        <v>38</v>
      </c>
      <c r="AB2461" s="4" t="s">
        <v>2276</v>
      </c>
      <c r="AC2461" s="4"/>
      <c r="AD2461" s="4" t="s">
        <v>7862</v>
      </c>
    </row>
    <row r="2462" spans="1:30" ht="31" customHeight="1">
      <c r="A2462" s="4" t="s">
        <v>6403</v>
      </c>
      <c r="B2462" s="4" t="s">
        <v>6548</v>
      </c>
      <c r="C2462" s="4" t="s">
        <v>2657</v>
      </c>
      <c r="D2462" s="4" t="s">
        <v>2276</v>
      </c>
      <c r="E2462" s="4" t="s">
        <v>2276</v>
      </c>
      <c r="F2462" s="4" t="s">
        <v>2276</v>
      </c>
      <c r="G2462" s="4" t="s">
        <v>2276</v>
      </c>
      <c r="H2462" s="4" t="s">
        <v>523</v>
      </c>
      <c r="I2462" s="4"/>
      <c r="J2462" s="221" t="s">
        <v>2276</v>
      </c>
      <c r="K2462" s="221" t="s">
        <v>2276</v>
      </c>
      <c r="L2462" s="221" t="s">
        <v>2276</v>
      </c>
      <c r="M2462" s="221" t="s">
        <v>2276</v>
      </c>
      <c r="N2462" s="221" t="s">
        <v>2276</v>
      </c>
      <c r="O2462" s="221" t="s">
        <v>2276</v>
      </c>
      <c r="P2462" s="221" t="s">
        <v>2276</v>
      </c>
      <c r="Q2462" s="221" t="s">
        <v>2276</v>
      </c>
      <c r="R2462" s="221" t="s">
        <v>2276</v>
      </c>
      <c r="S2462" s="221" t="s">
        <v>2276</v>
      </c>
      <c r="T2462" s="221" t="s">
        <v>2276</v>
      </c>
      <c r="U2462" s="221" t="s">
        <v>2276</v>
      </c>
      <c r="V2462" s="221" t="s">
        <v>2276</v>
      </c>
      <c r="W2462" s="221" t="s">
        <v>2276</v>
      </c>
      <c r="X2462" s="221" t="s">
        <v>2276</v>
      </c>
      <c r="Y2462" s="221" t="s">
        <v>2276</v>
      </c>
      <c r="Z2462" s="4" t="s">
        <v>127</v>
      </c>
      <c r="AA2462" s="4" t="s">
        <v>38</v>
      </c>
      <c r="AB2462" s="4" t="s">
        <v>2276</v>
      </c>
      <c r="AC2462" s="4"/>
      <c r="AD2462" s="4" t="s">
        <v>6538</v>
      </c>
    </row>
    <row r="2463" spans="1:30" ht="31" customHeight="1">
      <c r="A2463" s="4" t="s">
        <v>6404</v>
      </c>
      <c r="B2463" s="4" t="s">
        <v>6549</v>
      </c>
      <c r="C2463" s="4" t="s">
        <v>24</v>
      </c>
      <c r="D2463" s="4" t="s">
        <v>2276</v>
      </c>
      <c r="E2463" s="4" t="s">
        <v>2653</v>
      </c>
      <c r="F2463" s="4" t="s">
        <v>2276</v>
      </c>
      <c r="G2463" s="4" t="s">
        <v>2276</v>
      </c>
      <c r="H2463" s="4" t="s">
        <v>523</v>
      </c>
      <c r="I2463" s="4"/>
      <c r="J2463" s="75">
        <f>0.44/10</f>
        <v>4.3999999999999997E-2</v>
      </c>
      <c r="K2463" s="21" t="s">
        <v>2276</v>
      </c>
      <c r="L2463" s="221" t="s">
        <v>2276</v>
      </c>
      <c r="M2463" s="221" t="s">
        <v>2276</v>
      </c>
      <c r="N2463" s="221" t="s">
        <v>2276</v>
      </c>
      <c r="O2463" s="221" t="s">
        <v>2276</v>
      </c>
      <c r="P2463" s="75">
        <f>((X2463/100)*'Record info'!K1033)/(0.043*'Record info'!K1033)</f>
        <v>3.7209302325581402E-2</v>
      </c>
      <c r="Q2463" s="221" t="s">
        <v>2276</v>
      </c>
      <c r="R2463" s="221" t="s">
        <v>2276</v>
      </c>
      <c r="S2463" s="221" t="s">
        <v>2276</v>
      </c>
      <c r="T2463" s="221" t="s">
        <v>2276</v>
      </c>
      <c r="U2463" s="221" t="s">
        <v>2276</v>
      </c>
      <c r="V2463" s="221" t="s">
        <v>2276</v>
      </c>
      <c r="W2463" s="221" t="s">
        <v>2276</v>
      </c>
      <c r="X2463" s="75">
        <f>1.6/10</f>
        <v>0.16</v>
      </c>
      <c r="Y2463" s="221" t="s">
        <v>2276</v>
      </c>
      <c r="Z2463" s="4" t="s">
        <v>2276</v>
      </c>
      <c r="AA2463" s="4" t="s">
        <v>2276</v>
      </c>
      <c r="AB2463" s="4" t="s">
        <v>2276</v>
      </c>
      <c r="AC2463" s="4"/>
      <c r="AD2463" s="4"/>
    </row>
    <row r="2464" spans="1:30" ht="31" customHeight="1">
      <c r="A2464" s="4" t="s">
        <v>6404</v>
      </c>
      <c r="B2464" s="4" t="s">
        <v>6550</v>
      </c>
      <c r="C2464" s="4" t="s">
        <v>2656</v>
      </c>
      <c r="D2464" s="4" t="s">
        <v>2276</v>
      </c>
      <c r="E2464" s="4" t="s">
        <v>2276</v>
      </c>
      <c r="F2464" s="4" t="s">
        <v>2276</v>
      </c>
      <c r="G2464" s="4" t="s">
        <v>2276</v>
      </c>
      <c r="H2464" s="4" t="s">
        <v>523</v>
      </c>
      <c r="I2464" s="4"/>
      <c r="J2464" s="221">
        <f>J2463*(1-0.992)</f>
        <v>3.5200000000000032E-4</v>
      </c>
      <c r="K2464" s="21" t="s">
        <v>2276</v>
      </c>
      <c r="L2464" s="221" t="s">
        <v>2276</v>
      </c>
      <c r="M2464" s="221" t="s">
        <v>2276</v>
      </c>
      <c r="N2464" s="221" t="s">
        <v>2276</v>
      </c>
      <c r="O2464" s="221" t="s">
        <v>2276</v>
      </c>
      <c r="P2464" s="221" t="s">
        <v>2276</v>
      </c>
      <c r="Q2464" s="221" t="s">
        <v>2276</v>
      </c>
      <c r="R2464" s="221" t="s">
        <v>2276</v>
      </c>
      <c r="S2464" s="221" t="s">
        <v>2276</v>
      </c>
      <c r="T2464" s="221" t="s">
        <v>2276</v>
      </c>
      <c r="U2464" s="221" t="s">
        <v>2276</v>
      </c>
      <c r="V2464" s="221" t="s">
        <v>2276</v>
      </c>
      <c r="W2464" s="221" t="s">
        <v>2276</v>
      </c>
      <c r="X2464" s="221" t="s">
        <v>2276</v>
      </c>
      <c r="Y2464" s="221" t="s">
        <v>2276</v>
      </c>
      <c r="Z2464" s="4" t="s">
        <v>2276</v>
      </c>
      <c r="AA2464" s="4" t="s">
        <v>2276</v>
      </c>
      <c r="AB2464" s="4" t="s">
        <v>2276</v>
      </c>
      <c r="AC2464" s="4"/>
      <c r="AD2464" s="4" t="s">
        <v>6539</v>
      </c>
    </row>
    <row r="2465" spans="1:30" ht="31" customHeight="1">
      <c r="A2465" s="4" t="s">
        <v>6405</v>
      </c>
      <c r="B2465" s="4" t="s">
        <v>6551</v>
      </c>
      <c r="C2465" s="4" t="s">
        <v>24</v>
      </c>
      <c r="D2465" s="4" t="s">
        <v>2276</v>
      </c>
      <c r="E2465" s="4" t="s">
        <v>2653</v>
      </c>
      <c r="F2465" s="4" t="s">
        <v>2276</v>
      </c>
      <c r="G2465" s="4" t="s">
        <v>2276</v>
      </c>
      <c r="H2465" s="4" t="s">
        <v>523</v>
      </c>
      <c r="I2465" s="4"/>
      <c r="J2465" s="75">
        <v>0.04</v>
      </c>
      <c r="K2465" s="21" t="s">
        <v>2276</v>
      </c>
      <c r="L2465" s="221" t="s">
        <v>2276</v>
      </c>
      <c r="M2465" s="221" t="s">
        <v>2276</v>
      </c>
      <c r="N2465" s="221" t="s">
        <v>2276</v>
      </c>
      <c r="O2465" s="221" t="s">
        <v>2276</v>
      </c>
      <c r="P2465" s="221" t="s">
        <v>2276</v>
      </c>
      <c r="Q2465" s="221" t="s">
        <v>2276</v>
      </c>
      <c r="R2465" s="221" t="s">
        <v>2276</v>
      </c>
      <c r="S2465" s="221" t="s">
        <v>2276</v>
      </c>
      <c r="T2465" s="221" t="s">
        <v>2276</v>
      </c>
      <c r="U2465" s="221" t="s">
        <v>2276</v>
      </c>
      <c r="V2465" s="221" t="s">
        <v>2276</v>
      </c>
      <c r="W2465" s="221" t="s">
        <v>2276</v>
      </c>
      <c r="X2465" s="221" t="s">
        <v>2276</v>
      </c>
      <c r="Y2465" s="221" t="s">
        <v>2276</v>
      </c>
      <c r="Z2465" s="4" t="s">
        <v>2276</v>
      </c>
      <c r="AA2465" s="4" t="s">
        <v>2276</v>
      </c>
      <c r="AB2465" s="4" t="s">
        <v>2276</v>
      </c>
      <c r="AC2465" s="4"/>
      <c r="AD2465" s="4"/>
    </row>
    <row r="2466" spans="1:30" ht="31" customHeight="1">
      <c r="A2466" s="4" t="s">
        <v>6405</v>
      </c>
      <c r="B2466" s="4" t="s">
        <v>6552</v>
      </c>
      <c r="C2466" s="4" t="s">
        <v>2656</v>
      </c>
      <c r="D2466" s="4" t="s">
        <v>2276</v>
      </c>
      <c r="E2466" s="4" t="s">
        <v>2276</v>
      </c>
      <c r="F2466" s="4" t="s">
        <v>2276</v>
      </c>
      <c r="G2466" s="4" t="s">
        <v>2276</v>
      </c>
      <c r="H2466" s="4" t="s">
        <v>523</v>
      </c>
      <c r="I2466" s="4"/>
      <c r="J2466" s="221" t="s">
        <v>2276</v>
      </c>
      <c r="K2466" s="21" t="s">
        <v>2276</v>
      </c>
      <c r="L2466" s="221" t="s">
        <v>2276</v>
      </c>
      <c r="M2466" s="221" t="s">
        <v>2276</v>
      </c>
      <c r="N2466" s="221" t="s">
        <v>2276</v>
      </c>
      <c r="O2466" s="221" t="s">
        <v>2276</v>
      </c>
      <c r="P2466" s="221" t="s">
        <v>2276</v>
      </c>
      <c r="Q2466" s="221" t="s">
        <v>2276</v>
      </c>
      <c r="R2466" s="221" t="s">
        <v>2276</v>
      </c>
      <c r="S2466" s="221" t="s">
        <v>2276</v>
      </c>
      <c r="T2466" s="221" t="s">
        <v>2276</v>
      </c>
      <c r="U2466" s="221" t="s">
        <v>2276</v>
      </c>
      <c r="V2466" s="221" t="s">
        <v>2276</v>
      </c>
      <c r="W2466" s="221" t="s">
        <v>2276</v>
      </c>
      <c r="X2466" s="221" t="s">
        <v>2276</v>
      </c>
      <c r="Y2466" s="221" t="s">
        <v>2276</v>
      </c>
      <c r="Z2466" s="4" t="s">
        <v>2276</v>
      </c>
      <c r="AA2466" s="4" t="s">
        <v>2276</v>
      </c>
      <c r="AB2466" s="4" t="s">
        <v>2276</v>
      </c>
      <c r="AC2466" s="4"/>
      <c r="AD2466" s="4" t="s">
        <v>6540</v>
      </c>
    </row>
    <row r="2467" spans="1:30" ht="31" customHeight="1">
      <c r="A2467" s="4" t="s">
        <v>6409</v>
      </c>
      <c r="B2467" s="4" t="s">
        <v>6553</v>
      </c>
      <c r="C2467" s="4" t="s">
        <v>2658</v>
      </c>
      <c r="D2467" s="4" t="s">
        <v>2276</v>
      </c>
      <c r="E2467" s="4" t="s">
        <v>2649</v>
      </c>
      <c r="F2467" s="4" t="s">
        <v>74</v>
      </c>
      <c r="G2467" s="4" t="s">
        <v>74</v>
      </c>
      <c r="H2467" s="4" t="s">
        <v>523</v>
      </c>
      <c r="I2467" s="4"/>
      <c r="J2467" s="75">
        <f>0.662878787878788/28</f>
        <v>2.3674242424242428E-2</v>
      </c>
      <c r="K2467" s="21" t="s">
        <v>2276</v>
      </c>
      <c r="L2467" s="221" t="s">
        <v>2276</v>
      </c>
      <c r="M2467" s="221" t="s">
        <v>2276</v>
      </c>
      <c r="N2467" s="221" t="s">
        <v>2276</v>
      </c>
      <c r="O2467" s="221" t="s">
        <v>2276</v>
      </c>
      <c r="P2467" s="221" t="s">
        <v>2276</v>
      </c>
      <c r="Q2467" s="221" t="s">
        <v>2276</v>
      </c>
      <c r="R2467" s="221" t="s">
        <v>2276</v>
      </c>
      <c r="S2467" s="221" t="s">
        <v>2276</v>
      </c>
      <c r="T2467" s="221" t="s">
        <v>2276</v>
      </c>
      <c r="U2467" s="221" t="s">
        <v>2276</v>
      </c>
      <c r="V2467" s="221" t="s">
        <v>2276</v>
      </c>
      <c r="W2467" s="221" t="s">
        <v>2276</v>
      </c>
      <c r="X2467" s="221" t="s">
        <v>2276</v>
      </c>
      <c r="Y2467" s="75">
        <v>32</v>
      </c>
      <c r="Z2467" s="4" t="s">
        <v>2276</v>
      </c>
      <c r="AA2467" s="4" t="s">
        <v>2276</v>
      </c>
      <c r="AB2467" s="4" t="s">
        <v>2276</v>
      </c>
      <c r="AC2467" s="4"/>
      <c r="AD2467" s="4"/>
    </row>
    <row r="2468" spans="1:30" ht="31" customHeight="1">
      <c r="A2468" s="4" t="s">
        <v>6409</v>
      </c>
      <c r="B2468" s="4" t="s">
        <v>6554</v>
      </c>
      <c r="C2468" s="4" t="s">
        <v>24</v>
      </c>
      <c r="D2468" s="4" t="s">
        <v>1242</v>
      </c>
      <c r="E2468" s="4" t="s">
        <v>2649</v>
      </c>
      <c r="F2468" s="4" t="s">
        <v>74</v>
      </c>
      <c r="G2468" s="4" t="s">
        <v>74</v>
      </c>
      <c r="H2468" s="4" t="s">
        <v>523</v>
      </c>
      <c r="I2468" s="4"/>
      <c r="J2468" s="21" t="s">
        <v>2276</v>
      </c>
      <c r="K2468" s="21" t="s">
        <v>2276</v>
      </c>
      <c r="L2468" s="221" t="s">
        <v>2276</v>
      </c>
      <c r="M2468" s="221" t="s">
        <v>2276</v>
      </c>
      <c r="N2468" s="221" t="s">
        <v>2276</v>
      </c>
      <c r="O2468" s="221" t="s">
        <v>2276</v>
      </c>
      <c r="P2468" s="221" t="s">
        <v>2276</v>
      </c>
      <c r="Q2468" s="221" t="s">
        <v>2276</v>
      </c>
      <c r="R2468" s="221" t="s">
        <v>2276</v>
      </c>
      <c r="S2468" s="221" t="s">
        <v>2276</v>
      </c>
      <c r="T2468" s="221" t="s">
        <v>2276</v>
      </c>
      <c r="U2468" s="221" t="s">
        <v>2276</v>
      </c>
      <c r="V2468" s="221" t="s">
        <v>2276</v>
      </c>
      <c r="W2468" s="221" t="s">
        <v>2276</v>
      </c>
      <c r="X2468" s="221" t="s">
        <v>2276</v>
      </c>
      <c r="Y2468" s="221" t="s">
        <v>2276</v>
      </c>
      <c r="Z2468" s="4" t="s">
        <v>2276</v>
      </c>
      <c r="AA2468" s="4" t="s">
        <v>2276</v>
      </c>
      <c r="AB2468" s="4" t="s">
        <v>2276</v>
      </c>
      <c r="AC2468" s="4"/>
      <c r="AD2468" s="4"/>
    </row>
    <row r="2469" spans="1:30" ht="31" customHeight="1">
      <c r="A2469" s="4" t="s">
        <v>6410</v>
      </c>
      <c r="B2469" s="4" t="s">
        <v>6555</v>
      </c>
      <c r="C2469" s="4" t="s">
        <v>2658</v>
      </c>
      <c r="D2469" s="4" t="s">
        <v>2276</v>
      </c>
      <c r="E2469" s="4" t="s">
        <v>2649</v>
      </c>
      <c r="F2469" s="4" t="s">
        <v>74</v>
      </c>
      <c r="G2469" s="4" t="s">
        <v>74</v>
      </c>
      <c r="H2469" s="4" t="s">
        <v>523</v>
      </c>
      <c r="I2469" s="4"/>
      <c r="J2469" s="75">
        <f>0.15609756097561/28</f>
        <v>5.5749128919860714E-3</v>
      </c>
      <c r="K2469" s="21" t="s">
        <v>2276</v>
      </c>
      <c r="L2469" s="221" t="s">
        <v>2276</v>
      </c>
      <c r="M2469" s="221" t="s">
        <v>2276</v>
      </c>
      <c r="N2469" s="221" t="s">
        <v>2276</v>
      </c>
      <c r="O2469" s="221" t="s">
        <v>2276</v>
      </c>
      <c r="P2469" s="221" t="s">
        <v>2276</v>
      </c>
      <c r="Q2469" s="221" t="s">
        <v>2276</v>
      </c>
      <c r="R2469" s="221" t="s">
        <v>2276</v>
      </c>
      <c r="S2469" s="221" t="s">
        <v>2276</v>
      </c>
      <c r="T2469" s="221" t="s">
        <v>2276</v>
      </c>
      <c r="U2469" s="221" t="s">
        <v>2276</v>
      </c>
      <c r="V2469" s="221" t="s">
        <v>2276</v>
      </c>
      <c r="W2469" s="221" t="s">
        <v>2276</v>
      </c>
      <c r="X2469" s="221" t="s">
        <v>2276</v>
      </c>
      <c r="Y2469" s="75">
        <v>14</v>
      </c>
      <c r="Z2469" s="4" t="s">
        <v>2276</v>
      </c>
      <c r="AA2469" s="4" t="s">
        <v>2276</v>
      </c>
      <c r="AB2469" s="4" t="s">
        <v>2276</v>
      </c>
      <c r="AC2469" s="4"/>
      <c r="AD2469" s="4"/>
    </row>
    <row r="2470" spans="1:30" ht="31" customHeight="1">
      <c r="A2470" s="4" t="s">
        <v>6410</v>
      </c>
      <c r="B2470" s="4" t="s">
        <v>6556</v>
      </c>
      <c r="C2470" s="4" t="s">
        <v>24</v>
      </c>
      <c r="D2470" s="4" t="s">
        <v>1242</v>
      </c>
      <c r="E2470" s="4" t="s">
        <v>2649</v>
      </c>
      <c r="F2470" s="4" t="s">
        <v>74</v>
      </c>
      <c r="G2470" s="4" t="s">
        <v>74</v>
      </c>
      <c r="H2470" s="4" t="s">
        <v>523</v>
      </c>
      <c r="I2470" s="4"/>
      <c r="J2470" s="21" t="s">
        <v>2276</v>
      </c>
      <c r="K2470" s="21" t="s">
        <v>2276</v>
      </c>
      <c r="L2470" s="221" t="s">
        <v>2276</v>
      </c>
      <c r="M2470" s="221" t="s">
        <v>2276</v>
      </c>
      <c r="N2470" s="221" t="s">
        <v>2276</v>
      </c>
      <c r="O2470" s="221" t="s">
        <v>2276</v>
      </c>
      <c r="P2470" s="221" t="s">
        <v>2276</v>
      </c>
      <c r="Q2470" s="221" t="s">
        <v>2276</v>
      </c>
      <c r="R2470" s="221" t="s">
        <v>2276</v>
      </c>
      <c r="S2470" s="221" t="s">
        <v>2276</v>
      </c>
      <c r="T2470" s="221" t="s">
        <v>2276</v>
      </c>
      <c r="U2470" s="221" t="s">
        <v>2276</v>
      </c>
      <c r="V2470" s="221" t="s">
        <v>2276</v>
      </c>
      <c r="W2470" s="221" t="s">
        <v>2276</v>
      </c>
      <c r="X2470" s="221" t="s">
        <v>2276</v>
      </c>
      <c r="Y2470" s="221" t="s">
        <v>2276</v>
      </c>
      <c r="Z2470" s="4" t="s">
        <v>2276</v>
      </c>
      <c r="AA2470" s="4" t="s">
        <v>2276</v>
      </c>
      <c r="AB2470" s="4" t="s">
        <v>2276</v>
      </c>
      <c r="AC2470" s="4"/>
      <c r="AD2470" s="4"/>
    </row>
    <row r="2471" spans="1:30" ht="31" customHeight="1">
      <c r="A2471" s="4" t="s">
        <v>6411</v>
      </c>
      <c r="B2471" s="4" t="s">
        <v>6557</v>
      </c>
      <c r="C2471" s="4" t="s">
        <v>2658</v>
      </c>
      <c r="D2471" s="4" t="s">
        <v>2276</v>
      </c>
      <c r="E2471" s="4" t="s">
        <v>2649</v>
      </c>
      <c r="F2471" s="4" t="s">
        <v>74</v>
      </c>
      <c r="G2471" s="4" t="s">
        <v>74</v>
      </c>
      <c r="H2471" s="4" t="s">
        <v>523</v>
      </c>
      <c r="I2471" s="4"/>
      <c r="J2471" s="75">
        <f>0.829508196721311/28</f>
        <v>2.9625292740046823E-2</v>
      </c>
      <c r="K2471" s="21" t="s">
        <v>2276</v>
      </c>
      <c r="L2471" s="221" t="s">
        <v>2276</v>
      </c>
      <c r="M2471" s="221" t="s">
        <v>2276</v>
      </c>
      <c r="N2471" s="221" t="s">
        <v>2276</v>
      </c>
      <c r="O2471" s="221" t="s">
        <v>2276</v>
      </c>
      <c r="P2471" s="221" t="s">
        <v>2276</v>
      </c>
      <c r="Q2471" s="221" t="s">
        <v>2276</v>
      </c>
      <c r="R2471" s="221" t="s">
        <v>2276</v>
      </c>
      <c r="S2471" s="221" t="s">
        <v>2276</v>
      </c>
      <c r="T2471" s="221" t="s">
        <v>2276</v>
      </c>
      <c r="U2471" s="221" t="s">
        <v>2276</v>
      </c>
      <c r="V2471" s="221" t="s">
        <v>2276</v>
      </c>
      <c r="W2471" s="221" t="s">
        <v>2276</v>
      </c>
      <c r="X2471" s="221" t="s">
        <v>2276</v>
      </c>
      <c r="Y2471" s="75">
        <v>35</v>
      </c>
      <c r="Z2471" s="4" t="s">
        <v>2276</v>
      </c>
      <c r="AA2471" s="4" t="s">
        <v>2276</v>
      </c>
      <c r="AB2471" s="4" t="s">
        <v>2276</v>
      </c>
      <c r="AC2471" s="4"/>
      <c r="AD2471" s="4"/>
    </row>
    <row r="2472" spans="1:30" ht="31" customHeight="1">
      <c r="A2472" s="4" t="s">
        <v>6411</v>
      </c>
      <c r="B2472" s="4" t="s">
        <v>6558</v>
      </c>
      <c r="C2472" s="4" t="s">
        <v>24</v>
      </c>
      <c r="D2472" s="4" t="s">
        <v>1242</v>
      </c>
      <c r="E2472" s="4" t="s">
        <v>2649</v>
      </c>
      <c r="F2472" s="4" t="s">
        <v>74</v>
      </c>
      <c r="G2472" s="4" t="s">
        <v>74</v>
      </c>
      <c r="H2472" s="4" t="s">
        <v>523</v>
      </c>
      <c r="I2472" s="4"/>
      <c r="J2472" s="21" t="s">
        <v>2276</v>
      </c>
      <c r="K2472" s="21" t="s">
        <v>2276</v>
      </c>
      <c r="L2472" s="221" t="s">
        <v>2276</v>
      </c>
      <c r="M2472" s="221" t="s">
        <v>2276</v>
      </c>
      <c r="N2472" s="221" t="s">
        <v>2276</v>
      </c>
      <c r="O2472" s="221" t="s">
        <v>2276</v>
      </c>
      <c r="P2472" s="221" t="s">
        <v>2276</v>
      </c>
      <c r="Q2472" s="221" t="s">
        <v>2276</v>
      </c>
      <c r="R2472" s="221" t="s">
        <v>2276</v>
      </c>
      <c r="S2472" s="221" t="s">
        <v>2276</v>
      </c>
      <c r="T2472" s="221" t="s">
        <v>2276</v>
      </c>
      <c r="U2472" s="221" t="s">
        <v>2276</v>
      </c>
      <c r="V2472" s="221" t="s">
        <v>2276</v>
      </c>
      <c r="W2472" s="221" t="s">
        <v>2276</v>
      </c>
      <c r="X2472" s="221" t="s">
        <v>2276</v>
      </c>
      <c r="Y2472" s="221" t="s">
        <v>2276</v>
      </c>
      <c r="Z2472" s="4" t="s">
        <v>2276</v>
      </c>
      <c r="AA2472" s="4" t="s">
        <v>2276</v>
      </c>
      <c r="AB2472" s="4" t="s">
        <v>2276</v>
      </c>
      <c r="AC2472" s="4"/>
      <c r="AD2472" s="4"/>
    </row>
    <row r="2473" spans="1:30" ht="31" customHeight="1">
      <c r="A2473" s="4" t="s">
        <v>6412</v>
      </c>
      <c r="B2473" s="4" t="s">
        <v>6559</v>
      </c>
      <c r="C2473" s="4" t="s">
        <v>2658</v>
      </c>
      <c r="D2473" s="4" t="s">
        <v>2276</v>
      </c>
      <c r="E2473" s="4" t="s">
        <v>2649</v>
      </c>
      <c r="F2473" s="4" t="s">
        <v>74</v>
      </c>
      <c r="G2473" s="4" t="s">
        <v>74</v>
      </c>
      <c r="H2473" s="4" t="s">
        <v>523</v>
      </c>
      <c r="I2473" s="4"/>
      <c r="J2473" s="75">
        <f>0.559241706161137/28</f>
        <v>1.9972918077183464E-2</v>
      </c>
      <c r="K2473" s="21" t="s">
        <v>2276</v>
      </c>
      <c r="L2473" s="221" t="s">
        <v>2276</v>
      </c>
      <c r="M2473" s="221" t="s">
        <v>2276</v>
      </c>
      <c r="N2473" s="221" t="s">
        <v>2276</v>
      </c>
      <c r="O2473" s="221" t="s">
        <v>2276</v>
      </c>
      <c r="P2473" s="221" t="s">
        <v>2276</v>
      </c>
      <c r="Q2473" s="221" t="s">
        <v>2276</v>
      </c>
      <c r="R2473" s="221" t="s">
        <v>2276</v>
      </c>
      <c r="S2473" s="221" t="s">
        <v>2276</v>
      </c>
      <c r="T2473" s="221" t="s">
        <v>2276</v>
      </c>
      <c r="U2473" s="221" t="s">
        <v>2276</v>
      </c>
      <c r="V2473" s="221" t="s">
        <v>2276</v>
      </c>
      <c r="W2473" s="221" t="s">
        <v>2276</v>
      </c>
      <c r="X2473" s="221" t="s">
        <v>2276</v>
      </c>
      <c r="Y2473" s="75">
        <v>30</v>
      </c>
      <c r="Z2473" s="4" t="s">
        <v>2276</v>
      </c>
      <c r="AA2473" s="4" t="s">
        <v>2276</v>
      </c>
      <c r="AB2473" s="4" t="s">
        <v>2276</v>
      </c>
      <c r="AC2473" s="4"/>
      <c r="AD2473" s="4"/>
    </row>
    <row r="2474" spans="1:30" ht="31" customHeight="1">
      <c r="A2474" s="4" t="s">
        <v>6412</v>
      </c>
      <c r="B2474" s="4" t="s">
        <v>6560</v>
      </c>
      <c r="C2474" s="4" t="s">
        <v>24</v>
      </c>
      <c r="D2474" s="4" t="s">
        <v>1242</v>
      </c>
      <c r="E2474" s="4" t="s">
        <v>2649</v>
      </c>
      <c r="F2474" s="4" t="s">
        <v>74</v>
      </c>
      <c r="G2474" s="4" t="s">
        <v>74</v>
      </c>
      <c r="H2474" s="4" t="s">
        <v>523</v>
      </c>
      <c r="I2474" s="4"/>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1" t="s">
        <v>2276</v>
      </c>
      <c r="Y2474" s="21" t="s">
        <v>2276</v>
      </c>
      <c r="Z2474" s="4" t="s">
        <v>2276</v>
      </c>
      <c r="AA2474" s="4" t="s">
        <v>2276</v>
      </c>
      <c r="AB2474" s="4" t="s">
        <v>2276</v>
      </c>
      <c r="AC2474" s="4"/>
      <c r="AD2474" s="4"/>
    </row>
    <row r="2475" spans="1:30" ht="31" customHeight="1">
      <c r="A2475" s="4" t="s">
        <v>6413</v>
      </c>
      <c r="B2475" s="4" t="s">
        <v>6561</v>
      </c>
      <c r="C2475" s="4" t="s">
        <v>24</v>
      </c>
      <c r="D2475" s="4" t="s">
        <v>2659</v>
      </c>
      <c r="E2475" s="4" t="s">
        <v>2649</v>
      </c>
      <c r="F2475" s="4" t="s">
        <v>74</v>
      </c>
      <c r="G2475" s="4" t="s">
        <v>74</v>
      </c>
      <c r="H2475" s="4" t="s">
        <v>523</v>
      </c>
      <c r="I2475" s="4"/>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1" t="s">
        <v>2276</v>
      </c>
      <c r="Y2475" s="21" t="s">
        <v>2276</v>
      </c>
      <c r="Z2475" s="4" t="s">
        <v>2276</v>
      </c>
      <c r="AA2475" s="4" t="s">
        <v>2276</v>
      </c>
      <c r="AB2475" s="4" t="s">
        <v>2276</v>
      </c>
      <c r="AC2475" s="4"/>
      <c r="AD2475" s="4"/>
    </row>
    <row r="2476" spans="1:30" ht="31" customHeight="1">
      <c r="A2476" s="4" t="s">
        <v>6414</v>
      </c>
      <c r="B2476" s="4" t="s">
        <v>6562</v>
      </c>
      <c r="C2476" s="4" t="s">
        <v>24</v>
      </c>
      <c r="D2476" s="4" t="s">
        <v>2659</v>
      </c>
      <c r="E2476" s="4" t="s">
        <v>2649</v>
      </c>
      <c r="F2476" s="4" t="s">
        <v>74</v>
      </c>
      <c r="G2476" s="4" t="s">
        <v>74</v>
      </c>
      <c r="H2476" s="4" t="s">
        <v>523</v>
      </c>
      <c r="I2476" s="4"/>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1" t="s">
        <v>2276</v>
      </c>
      <c r="Y2476" s="21" t="s">
        <v>2276</v>
      </c>
      <c r="Z2476" s="4" t="s">
        <v>2276</v>
      </c>
      <c r="AA2476" s="4" t="s">
        <v>2276</v>
      </c>
      <c r="AB2476" s="4" t="s">
        <v>2276</v>
      </c>
      <c r="AC2476" s="4"/>
      <c r="AD2476" s="4"/>
    </row>
    <row r="2477" spans="1:30" ht="31" customHeight="1">
      <c r="A2477" s="4" t="s">
        <v>6415</v>
      </c>
      <c r="B2477" s="4" t="s">
        <v>6563</v>
      </c>
      <c r="C2477" s="4" t="s">
        <v>24</v>
      </c>
      <c r="D2477" s="4" t="s">
        <v>2659</v>
      </c>
      <c r="E2477" s="4" t="s">
        <v>2649</v>
      </c>
      <c r="F2477" s="4" t="s">
        <v>74</v>
      </c>
      <c r="G2477" s="4" t="s">
        <v>74</v>
      </c>
      <c r="H2477" s="4" t="s">
        <v>523</v>
      </c>
      <c r="I2477" s="4"/>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4" t="s">
        <v>2276</v>
      </c>
      <c r="AA2477" s="4" t="s">
        <v>2276</v>
      </c>
      <c r="AB2477" s="4" t="s">
        <v>2276</v>
      </c>
      <c r="AC2477" s="4"/>
      <c r="AD2477" s="4"/>
    </row>
    <row r="2478" spans="1:30" s="203" customFormat="1" ht="31" customHeight="1">
      <c r="A2478" s="4" t="s">
        <v>6415</v>
      </c>
      <c r="B2478" s="4" t="s">
        <v>6601</v>
      </c>
      <c r="C2478" s="4" t="s">
        <v>24</v>
      </c>
      <c r="D2478" s="4" t="s">
        <v>1242</v>
      </c>
      <c r="E2478" s="4" t="s">
        <v>2649</v>
      </c>
      <c r="F2478" s="4" t="s">
        <v>74</v>
      </c>
      <c r="G2478" s="4" t="s">
        <v>74</v>
      </c>
      <c r="H2478" s="4" t="s">
        <v>523</v>
      </c>
      <c r="I2478" s="4"/>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1" t="s">
        <v>2276</v>
      </c>
      <c r="AB2478" s="21" t="s">
        <v>2276</v>
      </c>
      <c r="AC2478" s="4"/>
      <c r="AD2478" s="4"/>
    </row>
    <row r="2479" spans="1:30" ht="31" customHeight="1">
      <c r="A2479" s="4" t="s">
        <v>6416</v>
      </c>
      <c r="B2479" s="4" t="s">
        <v>6564</v>
      </c>
      <c r="C2479" s="4" t="s">
        <v>24</v>
      </c>
      <c r="D2479" s="4" t="s">
        <v>2659</v>
      </c>
      <c r="E2479" s="4" t="s">
        <v>2649</v>
      </c>
      <c r="F2479" s="4" t="s">
        <v>74</v>
      </c>
      <c r="G2479" s="4" t="s">
        <v>74</v>
      </c>
      <c r="H2479" s="4" t="s">
        <v>523</v>
      </c>
      <c r="I2479" s="4"/>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1" t="s">
        <v>2276</v>
      </c>
      <c r="AB2479" s="21" t="s">
        <v>2276</v>
      </c>
      <c r="AC2479" s="4"/>
      <c r="AD2479" s="4"/>
    </row>
    <row r="2480" spans="1:30" s="203" customFormat="1" ht="31" customHeight="1">
      <c r="A2480" s="4" t="s">
        <v>6416</v>
      </c>
      <c r="B2480" s="4" t="s">
        <v>6604</v>
      </c>
      <c r="C2480" s="4" t="s">
        <v>24</v>
      </c>
      <c r="D2480" s="4" t="s">
        <v>1242</v>
      </c>
      <c r="E2480" s="4" t="s">
        <v>2649</v>
      </c>
      <c r="F2480" s="4" t="s">
        <v>74</v>
      </c>
      <c r="G2480" s="4" t="s">
        <v>74</v>
      </c>
      <c r="H2480" s="4" t="s">
        <v>523</v>
      </c>
      <c r="I2480" s="4"/>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1" t="s">
        <v>2276</v>
      </c>
      <c r="AB2480" s="21" t="s">
        <v>2276</v>
      </c>
      <c r="AC2480" s="4"/>
      <c r="AD2480" s="4"/>
    </row>
    <row r="2481" spans="1:30" ht="31" customHeight="1">
      <c r="A2481" s="4" t="s">
        <v>6417</v>
      </c>
      <c r="B2481" s="4" t="s">
        <v>6565</v>
      </c>
      <c r="C2481" s="4" t="s">
        <v>24</v>
      </c>
      <c r="D2481" s="4" t="s">
        <v>2659</v>
      </c>
      <c r="E2481" s="4" t="s">
        <v>2649</v>
      </c>
      <c r="F2481" s="4" t="s">
        <v>74</v>
      </c>
      <c r="G2481" s="4" t="s">
        <v>74</v>
      </c>
      <c r="H2481" s="4" t="s">
        <v>523</v>
      </c>
      <c r="I2481" s="4"/>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1" t="s">
        <v>2276</v>
      </c>
      <c r="AB2481" s="21" t="s">
        <v>2276</v>
      </c>
      <c r="AC2481" s="4"/>
      <c r="AD2481" s="4"/>
    </row>
    <row r="2482" spans="1:30" ht="31" customHeight="1">
      <c r="A2482" s="4" t="s">
        <v>6418</v>
      </c>
      <c r="B2482" s="4" t="s">
        <v>6566</v>
      </c>
      <c r="C2482" s="4" t="s">
        <v>24</v>
      </c>
      <c r="D2482" s="4" t="s">
        <v>2659</v>
      </c>
      <c r="E2482" s="4" t="s">
        <v>2649</v>
      </c>
      <c r="F2482" s="4" t="s">
        <v>74</v>
      </c>
      <c r="G2482" s="4" t="s">
        <v>74</v>
      </c>
      <c r="H2482" s="4" t="s">
        <v>523</v>
      </c>
      <c r="I2482" s="4"/>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1" t="s">
        <v>2276</v>
      </c>
      <c r="AB2482" s="21" t="s">
        <v>2276</v>
      </c>
      <c r="AC2482" s="4"/>
      <c r="AD2482" s="4"/>
    </row>
    <row r="2483" spans="1:30" ht="31" customHeight="1">
      <c r="A2483" s="4" t="s">
        <v>6567</v>
      </c>
      <c r="B2483" s="4" t="s">
        <v>6568</v>
      </c>
      <c r="C2483" s="4" t="s">
        <v>24</v>
      </c>
      <c r="D2483" s="4" t="s">
        <v>2659</v>
      </c>
      <c r="E2483" s="4" t="s">
        <v>2649</v>
      </c>
      <c r="F2483" s="4" t="s">
        <v>74</v>
      </c>
      <c r="G2483" s="4" t="s">
        <v>74</v>
      </c>
      <c r="H2483" s="4" t="s">
        <v>523</v>
      </c>
      <c r="I2483" s="4"/>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1" t="s">
        <v>2276</v>
      </c>
      <c r="AB2483" s="21" t="s">
        <v>2276</v>
      </c>
      <c r="AC2483" s="4"/>
      <c r="AD2483" s="4"/>
    </row>
    <row r="2484" spans="1:30" s="203" customFormat="1" ht="31" customHeight="1">
      <c r="A2484" s="4" t="s">
        <v>6567</v>
      </c>
      <c r="B2484" s="4" t="s">
        <v>6609</v>
      </c>
      <c r="C2484" s="4" t="s">
        <v>24</v>
      </c>
      <c r="D2484" s="4" t="s">
        <v>1242</v>
      </c>
      <c r="E2484" s="4" t="s">
        <v>2649</v>
      </c>
      <c r="F2484" s="4" t="s">
        <v>74</v>
      </c>
      <c r="G2484" s="4" t="s">
        <v>74</v>
      </c>
      <c r="H2484" s="4" t="s">
        <v>523</v>
      </c>
      <c r="I2484" s="4"/>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1" t="s">
        <v>2276</v>
      </c>
      <c r="AB2484" s="21" t="s">
        <v>2276</v>
      </c>
      <c r="AC2484" s="4"/>
      <c r="AD2484" s="4"/>
    </row>
    <row r="2485" spans="1:30" ht="31" customHeight="1">
      <c r="A2485" s="4" t="s">
        <v>6420</v>
      </c>
      <c r="B2485" s="4" t="s">
        <v>6569</v>
      </c>
      <c r="C2485" s="4" t="s">
        <v>24</v>
      </c>
      <c r="D2485" s="4" t="s">
        <v>2659</v>
      </c>
      <c r="E2485" s="4" t="s">
        <v>2649</v>
      </c>
      <c r="F2485" s="4" t="s">
        <v>74</v>
      </c>
      <c r="G2485" s="4" t="s">
        <v>74</v>
      </c>
      <c r="H2485" s="4" t="s">
        <v>523</v>
      </c>
      <c r="I2485" s="4"/>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1" t="s">
        <v>2276</v>
      </c>
      <c r="AB2485" s="21" t="s">
        <v>2276</v>
      </c>
      <c r="AC2485" s="4"/>
      <c r="AD2485" s="4"/>
    </row>
    <row r="2486" spans="1:30" ht="31" customHeight="1">
      <c r="A2486" s="4" t="s">
        <v>6421</v>
      </c>
      <c r="B2486" s="4" t="s">
        <v>6570</v>
      </c>
      <c r="C2486" s="4" t="s">
        <v>24</v>
      </c>
      <c r="D2486" s="4" t="s">
        <v>2659</v>
      </c>
      <c r="E2486" s="4" t="s">
        <v>2649</v>
      </c>
      <c r="F2486" s="4" t="s">
        <v>74</v>
      </c>
      <c r="G2486" s="4" t="s">
        <v>74</v>
      </c>
      <c r="H2486" s="4" t="s">
        <v>523</v>
      </c>
      <c r="I2486" s="4"/>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1" t="s">
        <v>2276</v>
      </c>
      <c r="AB2486" s="21" t="s">
        <v>2276</v>
      </c>
      <c r="AC2486" s="4"/>
      <c r="AD2486" s="4"/>
    </row>
    <row r="2487" spans="1:30" ht="31" customHeight="1">
      <c r="A2487" s="4" t="s">
        <v>6422</v>
      </c>
      <c r="B2487" s="4" t="s">
        <v>6571</v>
      </c>
      <c r="C2487" s="4" t="s">
        <v>24</v>
      </c>
      <c r="D2487" s="4" t="s">
        <v>2659</v>
      </c>
      <c r="E2487" s="4" t="s">
        <v>2649</v>
      </c>
      <c r="F2487" s="4" t="s">
        <v>74</v>
      </c>
      <c r="G2487" s="4" t="s">
        <v>74</v>
      </c>
      <c r="H2487" s="4" t="s">
        <v>523</v>
      </c>
      <c r="I2487" s="4"/>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1" t="s">
        <v>2276</v>
      </c>
      <c r="AB2487" s="21" t="s">
        <v>2276</v>
      </c>
      <c r="AC2487" s="4"/>
      <c r="AD2487" s="4"/>
    </row>
    <row r="2488" spans="1:30" s="203" customFormat="1" ht="31" customHeight="1">
      <c r="A2488" s="4" t="s">
        <v>6422</v>
      </c>
      <c r="B2488" s="4" t="s">
        <v>6613</v>
      </c>
      <c r="C2488" s="4" t="s">
        <v>24</v>
      </c>
      <c r="D2488" s="4" t="s">
        <v>1242</v>
      </c>
      <c r="E2488" s="4" t="s">
        <v>2649</v>
      </c>
      <c r="F2488" s="4" t="s">
        <v>74</v>
      </c>
      <c r="G2488" s="4" t="s">
        <v>74</v>
      </c>
      <c r="H2488" s="4" t="s">
        <v>523</v>
      </c>
      <c r="I2488" s="4"/>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1" t="s">
        <v>2276</v>
      </c>
      <c r="AB2488" s="21" t="s">
        <v>2276</v>
      </c>
      <c r="AC2488" s="4"/>
      <c r="AD2488" s="4"/>
    </row>
    <row r="2489" spans="1:30" ht="31" customHeight="1">
      <c r="A2489" s="4" t="s">
        <v>6423</v>
      </c>
      <c r="B2489" s="4" t="s">
        <v>6572</v>
      </c>
      <c r="C2489" s="4" t="s">
        <v>24</v>
      </c>
      <c r="D2489" s="4" t="s">
        <v>2659</v>
      </c>
      <c r="E2489" s="4" t="s">
        <v>2649</v>
      </c>
      <c r="F2489" s="4" t="s">
        <v>74</v>
      </c>
      <c r="G2489" s="4" t="s">
        <v>74</v>
      </c>
      <c r="H2489" s="4" t="s">
        <v>523</v>
      </c>
      <c r="I2489" s="4"/>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1" t="s">
        <v>2276</v>
      </c>
      <c r="AB2489" s="21" t="s">
        <v>2276</v>
      </c>
      <c r="AC2489" s="4"/>
      <c r="AD2489" s="4"/>
    </row>
    <row r="2490" spans="1:30" s="203" customFormat="1" ht="31" customHeight="1">
      <c r="A2490" s="4" t="s">
        <v>6423</v>
      </c>
      <c r="B2490" s="4" t="s">
        <v>6615</v>
      </c>
      <c r="C2490" s="4" t="s">
        <v>24</v>
      </c>
      <c r="D2490" s="4" t="s">
        <v>1242</v>
      </c>
      <c r="E2490" s="4" t="s">
        <v>2649</v>
      </c>
      <c r="F2490" s="4" t="s">
        <v>74</v>
      </c>
      <c r="G2490" s="4" t="s">
        <v>74</v>
      </c>
      <c r="H2490" s="4" t="s">
        <v>523</v>
      </c>
      <c r="I2490" s="4"/>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1" t="s">
        <v>2276</v>
      </c>
      <c r="AB2490" s="21" t="s">
        <v>2276</v>
      </c>
      <c r="AC2490" s="4"/>
      <c r="AD2490" s="4"/>
    </row>
    <row r="2491" spans="1:30" ht="38" customHeight="1">
      <c r="A2491" s="4" t="s">
        <v>6424</v>
      </c>
      <c r="B2491" s="4" t="s">
        <v>6573</v>
      </c>
      <c r="C2491" s="4" t="s">
        <v>2458</v>
      </c>
      <c r="D2491" s="4" t="s">
        <v>2276</v>
      </c>
      <c r="E2491" s="4" t="s">
        <v>2652</v>
      </c>
      <c r="F2491" s="4" t="s">
        <v>74</v>
      </c>
      <c r="G2491" s="4" t="s">
        <v>74</v>
      </c>
      <c r="H2491" s="4" t="s">
        <v>523</v>
      </c>
      <c r="I2491" s="4"/>
      <c r="J2491" s="221">
        <v>1.1627906976744187E-5</v>
      </c>
      <c r="K2491" s="21" t="s">
        <v>2276</v>
      </c>
      <c r="L2491" s="21" t="s">
        <v>2276</v>
      </c>
      <c r="M2491" s="21" t="s">
        <v>2276</v>
      </c>
      <c r="N2491" s="21" t="s">
        <v>2276</v>
      </c>
      <c r="O2491" s="21" t="s">
        <v>2276</v>
      </c>
      <c r="P2491" s="75">
        <f>T2491/(23/16)</f>
        <v>2268.4310018903593</v>
      </c>
      <c r="Q2491" s="21" t="s">
        <v>2276</v>
      </c>
      <c r="R2491" s="21" t="s">
        <v>2276</v>
      </c>
      <c r="S2491" s="21" t="s">
        <v>2276</v>
      </c>
      <c r="T2491" s="75">
        <f>150000/46</f>
        <v>3260.8695652173915</v>
      </c>
      <c r="U2491" s="21" t="s">
        <v>2276</v>
      </c>
      <c r="V2491" s="21" t="s">
        <v>2276</v>
      </c>
      <c r="W2491" s="21" t="s">
        <v>2276</v>
      </c>
      <c r="X2491" s="75">
        <f>T2491/'Record info'!K$1053</f>
        <v>7.583417593528817E-2</v>
      </c>
      <c r="Y2491" s="21" t="s">
        <v>2276</v>
      </c>
      <c r="Z2491" s="4" t="s">
        <v>189</v>
      </c>
      <c r="AA2491" s="4" t="s">
        <v>68</v>
      </c>
      <c r="AB2491" s="4" t="s">
        <v>2276</v>
      </c>
      <c r="AC2491" s="4" t="s">
        <v>6542</v>
      </c>
      <c r="AD2491" s="4" t="s">
        <v>6543</v>
      </c>
    </row>
    <row r="2492" spans="1:30" ht="38" customHeight="1">
      <c r="A2492" s="4" t="s">
        <v>6424</v>
      </c>
      <c r="B2492" s="4" t="s">
        <v>6574</v>
      </c>
      <c r="C2492" s="4" t="s">
        <v>2656</v>
      </c>
      <c r="D2492" s="4" t="s">
        <v>2276</v>
      </c>
      <c r="E2492" s="4" t="s">
        <v>137</v>
      </c>
      <c r="F2492" s="4" t="s">
        <v>74</v>
      </c>
      <c r="G2492" s="4" t="s">
        <v>74</v>
      </c>
      <c r="H2492" s="4" t="s">
        <v>523</v>
      </c>
      <c r="I2492" s="4"/>
      <c r="J2492" s="221">
        <v>2.6188068756319516E-4</v>
      </c>
      <c r="K2492" s="21" t="s">
        <v>2276</v>
      </c>
      <c r="L2492" s="21" t="s">
        <v>2276</v>
      </c>
      <c r="M2492" s="21" t="s">
        <v>2276</v>
      </c>
      <c r="N2492" s="21" t="s">
        <v>2276</v>
      </c>
      <c r="O2492" s="21" t="s">
        <v>2276</v>
      </c>
      <c r="P2492" s="75">
        <f>T2492/(518/16)</f>
        <v>2283.0283699848915</v>
      </c>
      <c r="Q2492" s="21" t="s">
        <v>2276</v>
      </c>
      <c r="R2492" s="21" t="s">
        <v>2276</v>
      </c>
      <c r="S2492" s="21" t="s">
        <v>2276</v>
      </c>
      <c r="T2492" s="75">
        <f>3400000/46</f>
        <v>73913.043478260865</v>
      </c>
      <c r="U2492" s="21" t="s">
        <v>2276</v>
      </c>
      <c r="V2492" s="21" t="s">
        <v>2276</v>
      </c>
      <c r="W2492" s="21" t="s">
        <v>2276</v>
      </c>
      <c r="X2492" s="75">
        <f>T2492/'Record info'!K$1053</f>
        <v>1.7189079878665317</v>
      </c>
      <c r="Y2492" s="21" t="s">
        <v>2276</v>
      </c>
      <c r="Z2492" s="4" t="s">
        <v>189</v>
      </c>
      <c r="AA2492" s="4" t="s">
        <v>68</v>
      </c>
      <c r="AB2492" s="4" t="s">
        <v>2276</v>
      </c>
      <c r="AC2492" s="4" t="s">
        <v>6542</v>
      </c>
      <c r="AD2492" s="4" t="s">
        <v>6543</v>
      </c>
    </row>
    <row r="2493" spans="1:30" s="203" customFormat="1" ht="49" customHeight="1">
      <c r="A2493" s="4" t="s">
        <v>6424</v>
      </c>
      <c r="B2493" s="4" t="s">
        <v>7857</v>
      </c>
      <c r="C2493" s="4" t="s">
        <v>1105</v>
      </c>
      <c r="D2493" s="4" t="s">
        <v>2276</v>
      </c>
      <c r="E2493" s="4" t="s">
        <v>1105</v>
      </c>
      <c r="F2493" s="4" t="s">
        <v>74</v>
      </c>
      <c r="G2493" s="4" t="s">
        <v>74</v>
      </c>
      <c r="H2493" s="4" t="s">
        <v>523</v>
      </c>
      <c r="I2493" s="4"/>
      <c r="J2493" s="204" t="s">
        <v>2276</v>
      </c>
      <c r="K2493" s="204" t="s">
        <v>2276</v>
      </c>
      <c r="L2493" s="204" t="s">
        <v>2276</v>
      </c>
      <c r="M2493" s="204" t="s">
        <v>2276</v>
      </c>
      <c r="N2493" s="204" t="s">
        <v>2276</v>
      </c>
      <c r="O2493" s="204" t="s">
        <v>2276</v>
      </c>
      <c r="P2493" s="204" t="s">
        <v>2276</v>
      </c>
      <c r="Q2493" s="204" t="s">
        <v>2276</v>
      </c>
      <c r="R2493" s="204" t="s">
        <v>2276</v>
      </c>
      <c r="S2493" s="204" t="s">
        <v>2276</v>
      </c>
      <c r="T2493" s="204" t="s">
        <v>2276</v>
      </c>
      <c r="U2493" s="204" t="s">
        <v>2276</v>
      </c>
      <c r="V2493" s="204" t="s">
        <v>2276</v>
      </c>
      <c r="W2493" s="204" t="s">
        <v>2276</v>
      </c>
      <c r="X2493" s="204" t="s">
        <v>2276</v>
      </c>
      <c r="Y2493" s="204" t="s">
        <v>2276</v>
      </c>
      <c r="Z2493" s="4" t="s">
        <v>189</v>
      </c>
      <c r="AA2493" s="4" t="s">
        <v>68</v>
      </c>
      <c r="AB2493" s="4" t="s">
        <v>2276</v>
      </c>
      <c r="AC2493" s="4" t="s">
        <v>7860</v>
      </c>
      <c r="AD2493" s="4" t="s">
        <v>7859</v>
      </c>
    </row>
    <row r="2494" spans="1:30" ht="38" customHeight="1">
      <c r="A2494" s="4" t="s">
        <v>6425</v>
      </c>
      <c r="B2494" s="4" t="s">
        <v>6617</v>
      </c>
      <c r="C2494" s="4" t="s">
        <v>2458</v>
      </c>
      <c r="D2494" s="4" t="s">
        <v>2276</v>
      </c>
      <c r="E2494" s="4" t="s">
        <v>2649</v>
      </c>
      <c r="F2494" s="4" t="s">
        <v>74</v>
      </c>
      <c r="G2494" s="4" t="s">
        <v>74</v>
      </c>
      <c r="H2494" s="4" t="s">
        <v>523</v>
      </c>
      <c r="I2494" s="4"/>
      <c r="J2494" s="221">
        <v>1.4639515685195377E-4</v>
      </c>
      <c r="K2494" s="204" t="s">
        <v>2276</v>
      </c>
      <c r="L2494" s="204" t="s">
        <v>2276</v>
      </c>
      <c r="M2494" s="204" t="s">
        <v>2276</v>
      </c>
      <c r="N2494" s="204" t="s">
        <v>2276</v>
      </c>
      <c r="O2494" s="204" t="s">
        <v>2276</v>
      </c>
      <c r="P2494" s="75">
        <f>T2494/(532/46)</f>
        <v>4191.729323308271</v>
      </c>
      <c r="Q2494" s="204" t="s">
        <v>2276</v>
      </c>
      <c r="R2494" s="204" t="s">
        <v>2276</v>
      </c>
      <c r="S2494" s="204" t="s">
        <v>2276</v>
      </c>
      <c r="T2494" s="75">
        <f>2230000/46</f>
        <v>48478.260869565216</v>
      </c>
      <c r="U2494" s="204" t="s">
        <v>2276</v>
      </c>
      <c r="V2494" s="204" t="s">
        <v>2276</v>
      </c>
      <c r="W2494" s="204" t="s">
        <v>2276</v>
      </c>
      <c r="X2494" s="75">
        <f>T2494/'Record info'!K$1054</f>
        <v>0.61364887176664829</v>
      </c>
      <c r="Y2494" s="204" t="s">
        <v>2276</v>
      </c>
      <c r="Z2494" s="4" t="s">
        <v>189</v>
      </c>
      <c r="AA2494" s="4" t="s">
        <v>68</v>
      </c>
      <c r="AB2494" s="4" t="s">
        <v>2276</v>
      </c>
      <c r="AC2494" s="4" t="s">
        <v>6542</v>
      </c>
      <c r="AD2494" s="4" t="s">
        <v>6543</v>
      </c>
    </row>
    <row r="2495" spans="1:30" ht="38" customHeight="1">
      <c r="A2495" s="4" t="s">
        <v>6425</v>
      </c>
      <c r="B2495" s="4" t="s">
        <v>6618</v>
      </c>
      <c r="C2495" s="4" t="s">
        <v>2656</v>
      </c>
      <c r="D2495" s="4" t="s">
        <v>2276</v>
      </c>
      <c r="E2495" s="4" t="s">
        <v>2649</v>
      </c>
      <c r="F2495" s="4" t="s">
        <v>74</v>
      </c>
      <c r="G2495" s="4" t="s">
        <v>74</v>
      </c>
      <c r="H2495" s="4" t="s">
        <v>523</v>
      </c>
      <c r="I2495" s="4"/>
      <c r="J2495" s="221">
        <v>1.6895982388552558E-4</v>
      </c>
      <c r="K2495" s="204" t="s">
        <v>2276</v>
      </c>
      <c r="L2495" s="204" t="s">
        <v>2276</v>
      </c>
      <c r="M2495" s="204" t="s">
        <v>2276</v>
      </c>
      <c r="N2495" s="204" t="s">
        <v>2276</v>
      </c>
      <c r="O2495" s="204" t="s">
        <v>2276</v>
      </c>
      <c r="P2495" s="75">
        <f>T2495/(614/46)</f>
        <v>3257.328990228013</v>
      </c>
      <c r="Q2495" s="204" t="s">
        <v>2276</v>
      </c>
      <c r="R2495" s="204" t="s">
        <v>2276</v>
      </c>
      <c r="S2495" s="204" t="s">
        <v>2276</v>
      </c>
      <c r="T2495" s="75">
        <f>2000000/46</f>
        <v>43478.260869565216</v>
      </c>
      <c r="U2495" s="204" t="s">
        <v>2276</v>
      </c>
      <c r="V2495" s="204" t="s">
        <v>2276</v>
      </c>
      <c r="W2495" s="204" t="s">
        <v>2276</v>
      </c>
      <c r="X2495" s="75">
        <f>T2495/'Record info'!K$1054</f>
        <v>0.55035773252614195</v>
      </c>
      <c r="Y2495" s="204" t="s">
        <v>2276</v>
      </c>
      <c r="Z2495" s="4" t="s">
        <v>189</v>
      </c>
      <c r="AA2495" s="4" t="s">
        <v>68</v>
      </c>
      <c r="AB2495" s="4" t="s">
        <v>2276</v>
      </c>
      <c r="AC2495" s="4" t="s">
        <v>6542</v>
      </c>
      <c r="AD2495" s="4" t="s">
        <v>6543</v>
      </c>
    </row>
    <row r="2496" spans="1:30" s="203" customFormat="1" ht="44.5" customHeight="1">
      <c r="A2496" s="4" t="s">
        <v>6425</v>
      </c>
      <c r="B2496" s="4" t="s">
        <v>7858</v>
      </c>
      <c r="C2496" s="4" t="s">
        <v>1105</v>
      </c>
      <c r="D2496" s="4" t="s">
        <v>2276</v>
      </c>
      <c r="E2496" s="4" t="s">
        <v>1105</v>
      </c>
      <c r="F2496" s="4" t="s">
        <v>74</v>
      </c>
      <c r="G2496" s="4" t="s">
        <v>74</v>
      </c>
      <c r="H2496" s="4" t="s">
        <v>523</v>
      </c>
      <c r="I2496" s="204"/>
      <c r="J2496" s="204" t="s">
        <v>2276</v>
      </c>
      <c r="K2496" s="204" t="s">
        <v>2276</v>
      </c>
      <c r="L2496" s="204" t="s">
        <v>2276</v>
      </c>
      <c r="M2496" s="204" t="s">
        <v>2276</v>
      </c>
      <c r="N2496" s="204" t="s">
        <v>2276</v>
      </c>
      <c r="O2496" s="204" t="s">
        <v>2276</v>
      </c>
      <c r="P2496" s="204" t="s">
        <v>2276</v>
      </c>
      <c r="Q2496" s="204" t="s">
        <v>2276</v>
      </c>
      <c r="R2496" s="204" t="s">
        <v>2276</v>
      </c>
      <c r="S2496" s="204" t="s">
        <v>2276</v>
      </c>
      <c r="T2496" s="204" t="s">
        <v>2276</v>
      </c>
      <c r="U2496" s="204" t="s">
        <v>2276</v>
      </c>
      <c r="V2496" s="204" t="s">
        <v>2276</v>
      </c>
      <c r="W2496" s="204" t="s">
        <v>2276</v>
      </c>
      <c r="X2496" s="204" t="s">
        <v>2276</v>
      </c>
      <c r="Y2496" s="204" t="s">
        <v>2276</v>
      </c>
      <c r="Z2496" s="4" t="s">
        <v>189</v>
      </c>
      <c r="AA2496" s="4" t="s">
        <v>68</v>
      </c>
      <c r="AB2496" s="4" t="s">
        <v>2276</v>
      </c>
      <c r="AC2496" s="4" t="s">
        <v>7860</v>
      </c>
      <c r="AD2496" s="4" t="s">
        <v>7859</v>
      </c>
    </row>
    <row r="2497" spans="1:30" ht="34" customHeight="1">
      <c r="A2497" s="4" t="s">
        <v>6426</v>
      </c>
      <c r="B2497" s="4" t="s">
        <v>6575</v>
      </c>
      <c r="C2497" s="4" t="s">
        <v>1105</v>
      </c>
      <c r="D2497" s="4" t="s">
        <v>2276</v>
      </c>
      <c r="E2497" s="4" t="s">
        <v>2649</v>
      </c>
      <c r="F2497" s="4" t="s">
        <v>74</v>
      </c>
      <c r="G2497" s="4" t="s">
        <v>74</v>
      </c>
      <c r="H2497" s="4" t="s">
        <v>523</v>
      </c>
      <c r="I2497" s="4">
        <v>1989</v>
      </c>
      <c r="J2497" s="204" t="s">
        <v>2276</v>
      </c>
      <c r="K2497" s="204" t="s">
        <v>2276</v>
      </c>
      <c r="L2497" s="204" t="s">
        <v>2276</v>
      </c>
      <c r="M2497" s="204" t="s">
        <v>2276</v>
      </c>
      <c r="N2497" s="204" t="s">
        <v>2276</v>
      </c>
      <c r="O2497" s="204" t="s">
        <v>2276</v>
      </c>
      <c r="P2497" s="204" t="s">
        <v>2276</v>
      </c>
      <c r="Q2497" s="204" t="s">
        <v>2276</v>
      </c>
      <c r="R2497" s="204" t="s">
        <v>2276</v>
      </c>
      <c r="S2497" s="204" t="s">
        <v>2276</v>
      </c>
      <c r="T2497" s="75">
        <v>92285</v>
      </c>
      <c r="U2497" s="204" t="s">
        <v>2276</v>
      </c>
      <c r="V2497" s="204" t="s">
        <v>2276</v>
      </c>
      <c r="W2497" s="204" t="s">
        <v>2276</v>
      </c>
      <c r="X2497" s="75">
        <v>14.448880538594018</v>
      </c>
      <c r="Y2497" s="204" t="s">
        <v>2276</v>
      </c>
      <c r="Z2497" s="4" t="s">
        <v>2276</v>
      </c>
      <c r="AA2497" s="4" t="s">
        <v>2276</v>
      </c>
      <c r="AB2497" s="4" t="s">
        <v>2276</v>
      </c>
      <c r="AC2497" s="4"/>
      <c r="AD2497" s="4"/>
    </row>
    <row r="2498" spans="1:30" ht="34" customHeight="1">
      <c r="A2498" s="4" t="s">
        <v>6426</v>
      </c>
      <c r="B2498" s="4" t="s">
        <v>6576</v>
      </c>
      <c r="C2498" s="4" t="s">
        <v>1105</v>
      </c>
      <c r="D2498" s="4" t="s">
        <v>2276</v>
      </c>
      <c r="E2498" s="4" t="s">
        <v>2649</v>
      </c>
      <c r="F2498" s="4" t="s">
        <v>74</v>
      </c>
      <c r="G2498" s="4" t="s">
        <v>74</v>
      </c>
      <c r="H2498" s="4" t="s">
        <v>523</v>
      </c>
      <c r="I2498" s="4">
        <v>1990</v>
      </c>
      <c r="J2498" s="204" t="s">
        <v>2276</v>
      </c>
      <c r="K2498" s="204" t="s">
        <v>2276</v>
      </c>
      <c r="L2498" s="204" t="s">
        <v>2276</v>
      </c>
      <c r="M2498" s="204" t="s">
        <v>2276</v>
      </c>
      <c r="N2498" s="204" t="s">
        <v>2276</v>
      </c>
      <c r="O2498" s="204" t="s">
        <v>2276</v>
      </c>
      <c r="P2498" s="204" t="s">
        <v>2276</v>
      </c>
      <c r="Q2498" s="204" t="s">
        <v>2276</v>
      </c>
      <c r="R2498" s="204" t="s">
        <v>2276</v>
      </c>
      <c r="S2498" s="204" t="s">
        <v>2276</v>
      </c>
      <c r="T2498" s="75">
        <v>51141</v>
      </c>
      <c r="U2498" s="204" t="s">
        <v>2276</v>
      </c>
      <c r="V2498" s="204" t="s">
        <v>2276</v>
      </c>
      <c r="W2498" s="204" t="s">
        <v>2276</v>
      </c>
      <c r="X2498" s="75">
        <v>8.0070455612963833</v>
      </c>
      <c r="Y2498" s="204" t="s">
        <v>2276</v>
      </c>
      <c r="Z2498" s="4" t="s">
        <v>2276</v>
      </c>
      <c r="AA2498" s="4" t="s">
        <v>2276</v>
      </c>
      <c r="AB2498" s="4" t="s">
        <v>2276</v>
      </c>
      <c r="AC2498" s="4"/>
      <c r="AD2498" s="4"/>
    </row>
    <row r="2499" spans="1:30" ht="34" customHeight="1">
      <c r="A2499" s="4" t="s">
        <v>6426</v>
      </c>
      <c r="B2499" s="4" t="s">
        <v>6577</v>
      </c>
      <c r="C2499" s="4" t="s">
        <v>1105</v>
      </c>
      <c r="D2499" s="4" t="s">
        <v>2276</v>
      </c>
      <c r="E2499" s="4" t="s">
        <v>2649</v>
      </c>
      <c r="F2499" s="4" t="s">
        <v>74</v>
      </c>
      <c r="G2499" s="4" t="s">
        <v>74</v>
      </c>
      <c r="H2499" s="4" t="s">
        <v>523</v>
      </c>
      <c r="I2499" s="4">
        <v>1991</v>
      </c>
      <c r="J2499" s="204" t="s">
        <v>2276</v>
      </c>
      <c r="K2499" s="204" t="s">
        <v>2276</v>
      </c>
      <c r="L2499" s="204" t="s">
        <v>2276</v>
      </c>
      <c r="M2499" s="204" t="s">
        <v>2276</v>
      </c>
      <c r="N2499" s="204" t="s">
        <v>2276</v>
      </c>
      <c r="O2499" s="204" t="s">
        <v>2276</v>
      </c>
      <c r="P2499" s="204" t="s">
        <v>2276</v>
      </c>
      <c r="Q2499" s="204" t="s">
        <v>2276</v>
      </c>
      <c r="R2499" s="204" t="s">
        <v>2276</v>
      </c>
      <c r="S2499" s="204" t="s">
        <v>2276</v>
      </c>
      <c r="T2499" s="75">
        <v>42741</v>
      </c>
      <c r="U2499" s="204" t="s">
        <v>2276</v>
      </c>
      <c r="V2499" s="204" t="s">
        <v>2276</v>
      </c>
      <c r="W2499" s="204" t="s">
        <v>2276</v>
      </c>
      <c r="X2499" s="75">
        <v>6.6918741193048383</v>
      </c>
      <c r="Y2499" s="204" t="s">
        <v>2276</v>
      </c>
      <c r="Z2499" s="4" t="s">
        <v>2276</v>
      </c>
      <c r="AA2499" s="4" t="s">
        <v>2276</v>
      </c>
      <c r="AB2499" s="4" t="s">
        <v>2276</v>
      </c>
      <c r="AC2499" s="4"/>
      <c r="AD2499" s="4"/>
    </row>
    <row r="2500" spans="1:30" ht="34" customHeight="1">
      <c r="A2500" s="4" t="s">
        <v>6427</v>
      </c>
      <c r="B2500" s="4" t="s">
        <v>6578</v>
      </c>
      <c r="C2500" s="4" t="s">
        <v>24</v>
      </c>
      <c r="D2500" s="4" t="s">
        <v>1242</v>
      </c>
      <c r="E2500" s="4" t="s">
        <v>2649</v>
      </c>
      <c r="F2500" s="4" t="s">
        <v>74</v>
      </c>
      <c r="G2500" s="4" t="s">
        <v>74</v>
      </c>
      <c r="H2500" s="4" t="s">
        <v>523</v>
      </c>
      <c r="I2500" s="4"/>
      <c r="J2500" s="75">
        <f>T2500/P2500/'Record info'!K1056</f>
        <v>1.4983277591973246E-2</v>
      </c>
      <c r="K2500" s="204" t="s">
        <v>2276</v>
      </c>
      <c r="L2500" s="75">
        <v>0.2</v>
      </c>
      <c r="M2500" s="204" t="s">
        <v>2276</v>
      </c>
      <c r="N2500" s="75">
        <v>152</v>
      </c>
      <c r="O2500" s="204" t="s">
        <v>2276</v>
      </c>
      <c r="P2500" s="75">
        <v>25</v>
      </c>
      <c r="Q2500" s="204" t="s">
        <v>2276</v>
      </c>
      <c r="R2500" s="204" t="s">
        <v>2276</v>
      </c>
      <c r="S2500" s="204" t="s">
        <v>2276</v>
      </c>
      <c r="T2500" s="75">
        <f>11200/50</f>
        <v>224</v>
      </c>
      <c r="U2500" s="204" t="s">
        <v>2276</v>
      </c>
      <c r="V2500" s="204" t="s">
        <v>2276</v>
      </c>
      <c r="W2500" s="204" t="s">
        <v>2276</v>
      </c>
      <c r="X2500" s="75">
        <f>18.7/50</f>
        <v>0.374</v>
      </c>
      <c r="Y2500" s="204" t="s">
        <v>2276</v>
      </c>
      <c r="Z2500" s="4" t="s">
        <v>34</v>
      </c>
      <c r="AA2500" s="4" t="s">
        <v>405</v>
      </c>
      <c r="AB2500" s="4" t="s">
        <v>64</v>
      </c>
      <c r="AC2500" s="4"/>
      <c r="AD2500" s="4" t="s">
        <v>6544</v>
      </c>
    </row>
    <row r="2501" spans="1:30" ht="34" customHeight="1">
      <c r="A2501" s="4" t="s">
        <v>6428</v>
      </c>
      <c r="B2501" s="4" t="s">
        <v>6579</v>
      </c>
      <c r="C2501" s="4" t="s">
        <v>24</v>
      </c>
      <c r="D2501" s="4" t="s">
        <v>1242</v>
      </c>
      <c r="E2501" s="4" t="s">
        <v>2649</v>
      </c>
      <c r="F2501" s="4" t="s">
        <v>74</v>
      </c>
      <c r="G2501" s="4" t="s">
        <v>74</v>
      </c>
      <c r="H2501" s="4" t="s">
        <v>523</v>
      </c>
      <c r="I2501" s="4"/>
      <c r="J2501" s="75">
        <v>1.5260675923500131E-3</v>
      </c>
      <c r="K2501" s="204" t="s">
        <v>2276</v>
      </c>
      <c r="L2501" s="204" t="s">
        <v>2276</v>
      </c>
      <c r="M2501" s="204" t="s">
        <v>2276</v>
      </c>
      <c r="N2501" s="204" t="s">
        <v>2276</v>
      </c>
      <c r="O2501" s="204" t="s">
        <v>2276</v>
      </c>
      <c r="P2501" s="75">
        <v>12</v>
      </c>
      <c r="Q2501" s="204" t="s">
        <v>2276</v>
      </c>
      <c r="R2501" s="75">
        <v>7.5</v>
      </c>
      <c r="S2501" s="204" t="s">
        <v>2276</v>
      </c>
      <c r="T2501" s="75">
        <v>6141</v>
      </c>
      <c r="U2501" s="204" t="s">
        <v>2276</v>
      </c>
      <c r="V2501" s="75">
        <v>2.0110689022792769E-4</v>
      </c>
      <c r="W2501" s="204" t="s">
        <v>2276</v>
      </c>
      <c r="X2501" s="204" t="s">
        <v>2276</v>
      </c>
      <c r="Y2501" s="204" t="s">
        <v>2276</v>
      </c>
      <c r="Z2501" s="4" t="s">
        <v>2276</v>
      </c>
      <c r="AA2501" s="4" t="s">
        <v>2276</v>
      </c>
      <c r="AB2501" s="4" t="s">
        <v>2276</v>
      </c>
      <c r="AC2501" s="4"/>
      <c r="AD2501" s="4"/>
    </row>
    <row r="2502" spans="1:30" ht="34" customHeight="1">
      <c r="A2502" s="4" t="s">
        <v>6428</v>
      </c>
      <c r="B2502" s="4" t="s">
        <v>6580</v>
      </c>
      <c r="C2502" s="4" t="s">
        <v>2656</v>
      </c>
      <c r="D2502" s="4" t="s">
        <v>2276</v>
      </c>
      <c r="E2502" s="4" t="s">
        <v>2649</v>
      </c>
      <c r="F2502" s="4" t="s">
        <v>74</v>
      </c>
      <c r="G2502" s="4" t="s">
        <v>74</v>
      </c>
      <c r="H2502" s="4" t="s">
        <v>523</v>
      </c>
      <c r="I2502" s="4"/>
      <c r="J2502" s="75">
        <v>2.9473408435944457E-3</v>
      </c>
      <c r="K2502" s="204" t="s">
        <v>2276</v>
      </c>
      <c r="L2502" s="204" t="s">
        <v>2276</v>
      </c>
      <c r="M2502" s="204" t="s">
        <v>2276</v>
      </c>
      <c r="N2502" s="204" t="s">
        <v>2276</v>
      </c>
      <c r="O2502" s="204" t="s">
        <v>2276</v>
      </c>
      <c r="P2502" s="75">
        <v>3.5</v>
      </c>
      <c r="Q2502" s="204" t="s">
        <v>2276</v>
      </c>
      <c r="R2502" s="75">
        <v>1</v>
      </c>
      <c r="S2502" s="204" t="s">
        <v>2276</v>
      </c>
      <c r="T2502" s="75">
        <v>14301</v>
      </c>
      <c r="U2502" s="204" t="s">
        <v>2276</v>
      </c>
      <c r="V2502" s="75">
        <v>4.6833246004715745E-4</v>
      </c>
      <c r="W2502" s="204" t="s">
        <v>2276</v>
      </c>
      <c r="X2502" s="204" t="s">
        <v>2276</v>
      </c>
      <c r="Y2502" s="204" t="s">
        <v>2276</v>
      </c>
      <c r="Z2502" s="4" t="s">
        <v>2276</v>
      </c>
      <c r="AA2502" s="4" t="s">
        <v>2276</v>
      </c>
      <c r="AB2502" s="4" t="s">
        <v>2276</v>
      </c>
      <c r="AC2502" s="4"/>
      <c r="AD2502" s="4"/>
    </row>
    <row r="2503" spans="1:30" ht="123" customHeight="1">
      <c r="A2503" s="19" t="s">
        <v>6998</v>
      </c>
      <c r="B2503" s="19" t="s">
        <v>7000</v>
      </c>
      <c r="C2503" s="204" t="s">
        <v>24</v>
      </c>
      <c r="D2503" s="204" t="s">
        <v>25</v>
      </c>
      <c r="E2503" s="204" t="s">
        <v>45</v>
      </c>
      <c r="F2503" s="4" t="s">
        <v>29</v>
      </c>
      <c r="G2503" s="4" t="s">
        <v>29</v>
      </c>
      <c r="H2503" s="4" t="s">
        <v>523</v>
      </c>
      <c r="I2503" s="204"/>
      <c r="J2503" s="204" t="s">
        <v>2276</v>
      </c>
      <c r="K2503" s="204" t="s">
        <v>2276</v>
      </c>
      <c r="L2503" s="204" t="s">
        <v>2276</v>
      </c>
      <c r="M2503" s="204" t="s">
        <v>2276</v>
      </c>
      <c r="N2503" s="204" t="s">
        <v>2276</v>
      </c>
      <c r="O2503" s="204" t="s">
        <v>2276</v>
      </c>
      <c r="P2503" s="204" t="s">
        <v>2276</v>
      </c>
      <c r="Q2503" s="204" t="s">
        <v>2276</v>
      </c>
      <c r="R2503" s="204" t="s">
        <v>2276</v>
      </c>
      <c r="S2503" s="204" t="s">
        <v>2276</v>
      </c>
      <c r="T2503" s="204" t="s">
        <v>2276</v>
      </c>
      <c r="U2503" s="204" t="s">
        <v>2276</v>
      </c>
      <c r="V2503" s="204" t="s">
        <v>2276</v>
      </c>
      <c r="W2503" s="204" t="s">
        <v>2276</v>
      </c>
      <c r="X2503" s="204" t="s">
        <v>2276</v>
      </c>
      <c r="Y2503" s="204" t="s">
        <v>2276</v>
      </c>
      <c r="Z2503" s="204" t="s">
        <v>405</v>
      </c>
      <c r="AA2503" s="204" t="s">
        <v>425</v>
      </c>
      <c r="AB2503" s="4" t="s">
        <v>64</v>
      </c>
      <c r="AC2503" s="204"/>
      <c r="AD2503" s="4" t="s">
        <v>7005</v>
      </c>
    </row>
    <row r="2504" spans="1:30" ht="73" customHeight="1">
      <c r="A2504" s="19" t="s">
        <v>6998</v>
      </c>
      <c r="B2504" s="19" t="s">
        <v>7001</v>
      </c>
      <c r="C2504" s="204" t="s">
        <v>24</v>
      </c>
      <c r="D2504" s="204" t="s">
        <v>25</v>
      </c>
      <c r="E2504" s="204" t="s">
        <v>2647</v>
      </c>
      <c r="F2504" s="4" t="s">
        <v>29</v>
      </c>
      <c r="G2504" s="4" t="s">
        <v>29</v>
      </c>
      <c r="H2504" s="4" t="s">
        <v>523</v>
      </c>
      <c r="I2504" s="204"/>
      <c r="J2504" s="204" t="s">
        <v>2276</v>
      </c>
      <c r="K2504" s="204" t="s">
        <v>2276</v>
      </c>
      <c r="L2504" s="204" t="s">
        <v>2276</v>
      </c>
      <c r="M2504" s="204" t="s">
        <v>2276</v>
      </c>
      <c r="N2504" s="204" t="s">
        <v>2276</v>
      </c>
      <c r="O2504" s="204" t="s">
        <v>2276</v>
      </c>
      <c r="P2504" s="204" t="s">
        <v>2276</v>
      </c>
      <c r="Q2504" s="204" t="s">
        <v>2276</v>
      </c>
      <c r="R2504" s="204" t="s">
        <v>2276</v>
      </c>
      <c r="S2504" s="204" t="s">
        <v>2276</v>
      </c>
      <c r="T2504" s="204" t="s">
        <v>2276</v>
      </c>
      <c r="U2504" s="204" t="s">
        <v>2276</v>
      </c>
      <c r="V2504" s="204" t="s">
        <v>2276</v>
      </c>
      <c r="W2504" s="204" t="s">
        <v>2276</v>
      </c>
      <c r="X2504" s="204" t="s">
        <v>2276</v>
      </c>
      <c r="Y2504" s="204" t="s">
        <v>2276</v>
      </c>
      <c r="Z2504" s="204" t="s">
        <v>405</v>
      </c>
      <c r="AA2504" s="204" t="s">
        <v>425</v>
      </c>
      <c r="AB2504" s="4" t="s">
        <v>64</v>
      </c>
      <c r="AC2504" s="204"/>
      <c r="AD2504" s="4"/>
    </row>
    <row r="2505" spans="1:30" ht="123" customHeight="1">
      <c r="A2505" s="19" t="s">
        <v>6998</v>
      </c>
      <c r="B2505" s="19" t="s">
        <v>7002</v>
      </c>
      <c r="C2505" s="204" t="s">
        <v>2458</v>
      </c>
      <c r="D2505" s="204" t="s">
        <v>25</v>
      </c>
      <c r="E2505" s="204" t="s">
        <v>45</v>
      </c>
      <c r="F2505" s="4" t="s">
        <v>29</v>
      </c>
      <c r="G2505" s="204" t="s">
        <v>160</v>
      </c>
      <c r="H2505" s="4" t="s">
        <v>523</v>
      </c>
      <c r="I2505" s="204"/>
      <c r="J2505" s="204" t="s">
        <v>2276</v>
      </c>
      <c r="K2505" s="204" t="s">
        <v>2276</v>
      </c>
      <c r="L2505" s="204" t="s">
        <v>2276</v>
      </c>
      <c r="M2505" s="204" t="s">
        <v>2276</v>
      </c>
      <c r="N2505" s="204" t="s">
        <v>2276</v>
      </c>
      <c r="O2505" s="204" t="s">
        <v>2276</v>
      </c>
      <c r="P2505" s="204" t="s">
        <v>2276</v>
      </c>
      <c r="Q2505" s="204" t="s">
        <v>2276</v>
      </c>
      <c r="R2505" s="204" t="s">
        <v>2276</v>
      </c>
      <c r="S2505" s="204" t="s">
        <v>2276</v>
      </c>
      <c r="T2505" s="204" t="s">
        <v>2276</v>
      </c>
      <c r="U2505" s="204" t="s">
        <v>2276</v>
      </c>
      <c r="V2505" s="204" t="s">
        <v>2276</v>
      </c>
      <c r="W2505" s="204" t="s">
        <v>2276</v>
      </c>
      <c r="X2505" s="204" t="s">
        <v>2276</v>
      </c>
      <c r="Y2505" s="204" t="s">
        <v>2276</v>
      </c>
      <c r="Z2505" s="204" t="s">
        <v>405</v>
      </c>
      <c r="AA2505" s="204" t="s">
        <v>425</v>
      </c>
      <c r="AB2505" s="4" t="s">
        <v>64</v>
      </c>
      <c r="AC2505" s="4" t="s">
        <v>7007</v>
      </c>
      <c r="AD2505" s="4" t="s">
        <v>7006</v>
      </c>
    </row>
    <row r="2506" spans="1:30" ht="71" customHeight="1">
      <c r="A2506" s="19" t="s">
        <v>6998</v>
      </c>
      <c r="B2506" s="19" t="s">
        <v>7003</v>
      </c>
      <c r="C2506" s="204" t="s">
        <v>2458</v>
      </c>
      <c r="D2506" s="204" t="s">
        <v>25</v>
      </c>
      <c r="E2506" s="204" t="s">
        <v>2647</v>
      </c>
      <c r="F2506" s="4" t="s">
        <v>29</v>
      </c>
      <c r="G2506" s="204" t="s">
        <v>160</v>
      </c>
      <c r="H2506" s="4" t="s">
        <v>523</v>
      </c>
      <c r="I2506" s="204"/>
      <c r="J2506" s="204" t="s">
        <v>2276</v>
      </c>
      <c r="K2506" s="204" t="s">
        <v>2276</v>
      </c>
      <c r="L2506" s="204" t="s">
        <v>2276</v>
      </c>
      <c r="M2506" s="204" t="s">
        <v>2276</v>
      </c>
      <c r="N2506" s="204" t="s">
        <v>2276</v>
      </c>
      <c r="O2506" s="204" t="s">
        <v>2276</v>
      </c>
      <c r="P2506" s="204" t="s">
        <v>2276</v>
      </c>
      <c r="Q2506" s="204" t="s">
        <v>2276</v>
      </c>
      <c r="R2506" s="204" t="s">
        <v>2276</v>
      </c>
      <c r="S2506" s="204" t="s">
        <v>2276</v>
      </c>
      <c r="T2506" s="204" t="s">
        <v>2276</v>
      </c>
      <c r="U2506" s="204" t="s">
        <v>2276</v>
      </c>
      <c r="V2506" s="204" t="s">
        <v>2276</v>
      </c>
      <c r="W2506" s="204" t="s">
        <v>2276</v>
      </c>
      <c r="X2506" s="204" t="s">
        <v>2276</v>
      </c>
      <c r="Y2506" s="204" t="s">
        <v>2276</v>
      </c>
      <c r="Z2506" s="204" t="s">
        <v>405</v>
      </c>
      <c r="AA2506" s="204" t="s">
        <v>425</v>
      </c>
      <c r="AB2506" s="4" t="s">
        <v>64</v>
      </c>
      <c r="AC2506" s="204"/>
      <c r="AD2506" s="204"/>
    </row>
    <row r="2507" spans="1:30" ht="55.5" customHeight="1">
      <c r="A2507" s="19" t="s">
        <v>7009</v>
      </c>
      <c r="B2507" s="19" t="s">
        <v>7013</v>
      </c>
      <c r="C2507" s="204" t="s">
        <v>24</v>
      </c>
      <c r="D2507" s="204" t="s">
        <v>2231</v>
      </c>
      <c r="E2507" s="204" t="s">
        <v>84</v>
      </c>
      <c r="F2507" s="4" t="s">
        <v>2662</v>
      </c>
      <c r="G2507" s="4" t="s">
        <v>2662</v>
      </c>
      <c r="H2507" s="4" t="s">
        <v>523</v>
      </c>
      <c r="I2507" s="204"/>
      <c r="J2507" s="204" t="s">
        <v>2276</v>
      </c>
      <c r="K2507" s="204" t="s">
        <v>2276</v>
      </c>
      <c r="L2507" s="204" t="s">
        <v>2276</v>
      </c>
      <c r="M2507" s="204" t="s">
        <v>2276</v>
      </c>
      <c r="N2507" s="204" t="s">
        <v>2276</v>
      </c>
      <c r="O2507" s="204" t="s">
        <v>2276</v>
      </c>
      <c r="P2507" s="204" t="s">
        <v>2276</v>
      </c>
      <c r="Q2507" s="204" t="s">
        <v>2276</v>
      </c>
      <c r="R2507" s="204" t="s">
        <v>2276</v>
      </c>
      <c r="S2507" s="204" t="s">
        <v>2276</v>
      </c>
      <c r="T2507" s="204" t="s">
        <v>2276</v>
      </c>
      <c r="U2507" s="204" t="s">
        <v>2276</v>
      </c>
      <c r="V2507" s="21">
        <v>34</v>
      </c>
      <c r="W2507" s="204" t="s">
        <v>2276</v>
      </c>
      <c r="X2507" s="21">
        <f>100*534/'Record info'!K1060</f>
        <v>1.5602629656683711</v>
      </c>
      <c r="Y2507" s="204" t="s">
        <v>2276</v>
      </c>
      <c r="Z2507" s="204" t="s">
        <v>2276</v>
      </c>
      <c r="AA2507" s="204" t="s">
        <v>2276</v>
      </c>
      <c r="AB2507" s="204" t="s">
        <v>2276</v>
      </c>
      <c r="AC2507" s="4" t="s">
        <v>7015</v>
      </c>
      <c r="AD2507" s="204"/>
    </row>
    <row r="2508" spans="1:30" ht="50" customHeight="1">
      <c r="A2508" s="19" t="s">
        <v>7009</v>
      </c>
      <c r="B2508" s="19" t="s">
        <v>7014</v>
      </c>
      <c r="C2508" s="204" t="s">
        <v>24</v>
      </c>
      <c r="D2508" s="204" t="s">
        <v>25</v>
      </c>
      <c r="E2508" s="204" t="s">
        <v>45</v>
      </c>
      <c r="F2508" s="4" t="s">
        <v>29</v>
      </c>
      <c r="G2508" s="204" t="s">
        <v>29</v>
      </c>
      <c r="H2508" s="4" t="s">
        <v>523</v>
      </c>
      <c r="I2508" s="204"/>
      <c r="J2508" s="204" t="s">
        <v>2276</v>
      </c>
      <c r="K2508" s="204" t="s">
        <v>2276</v>
      </c>
      <c r="L2508" s="204" t="s">
        <v>2276</v>
      </c>
      <c r="M2508" s="204" t="s">
        <v>2276</v>
      </c>
      <c r="N2508" s="204" t="s">
        <v>2276</v>
      </c>
      <c r="O2508" s="204" t="s">
        <v>2276</v>
      </c>
      <c r="P2508" s="204" t="s">
        <v>2276</v>
      </c>
      <c r="Q2508" s="204" t="s">
        <v>2276</v>
      </c>
      <c r="R2508" s="204" t="s">
        <v>2276</v>
      </c>
      <c r="S2508" s="204" t="s">
        <v>2276</v>
      </c>
      <c r="T2508" s="204" t="s">
        <v>2276</v>
      </c>
      <c r="U2508" s="204" t="s">
        <v>2276</v>
      </c>
      <c r="V2508" s="204" t="s">
        <v>2276</v>
      </c>
      <c r="W2508" s="204" t="s">
        <v>2276</v>
      </c>
      <c r="X2508" s="21">
        <f>100*938/'Record info'!K1060</f>
        <v>2.7406866325785244</v>
      </c>
      <c r="Y2508" s="204" t="s">
        <v>2276</v>
      </c>
      <c r="Z2508" s="204" t="s">
        <v>2276</v>
      </c>
      <c r="AA2508" s="204" t="s">
        <v>2276</v>
      </c>
      <c r="AB2508" s="204" t="s">
        <v>2276</v>
      </c>
      <c r="AC2508" s="4" t="s">
        <v>7017</v>
      </c>
      <c r="AD2508" s="204"/>
    </row>
    <row r="2509" spans="1:30" ht="49" customHeight="1">
      <c r="A2509" s="19" t="s">
        <v>7009</v>
      </c>
      <c r="B2509" s="19" t="s">
        <v>7014</v>
      </c>
      <c r="C2509" s="204" t="s">
        <v>2458</v>
      </c>
      <c r="D2509" s="204" t="s">
        <v>25</v>
      </c>
      <c r="E2509" s="204" t="s">
        <v>2647</v>
      </c>
      <c r="F2509" s="4" t="s">
        <v>29</v>
      </c>
      <c r="G2509" s="204" t="s">
        <v>74</v>
      </c>
      <c r="H2509" s="4" t="s">
        <v>523</v>
      </c>
      <c r="I2509" s="204"/>
      <c r="J2509" s="204" t="s">
        <v>2276</v>
      </c>
      <c r="K2509" s="204" t="s">
        <v>2276</v>
      </c>
      <c r="L2509" s="204" t="s">
        <v>2276</v>
      </c>
      <c r="M2509" s="204" t="s">
        <v>2276</v>
      </c>
      <c r="N2509" s="204" t="s">
        <v>2276</v>
      </c>
      <c r="O2509" s="204" t="s">
        <v>2276</v>
      </c>
      <c r="P2509" s="204" t="s">
        <v>2276</v>
      </c>
      <c r="Q2509" s="204" t="s">
        <v>2276</v>
      </c>
      <c r="R2509" s="204" t="s">
        <v>2276</v>
      </c>
      <c r="S2509" s="204" t="s">
        <v>2276</v>
      </c>
      <c r="T2509" s="204" t="s">
        <v>2276</v>
      </c>
      <c r="U2509" s="204" t="s">
        <v>2276</v>
      </c>
      <c r="V2509" s="21">
        <f>100 * 180 / ('Record info'!K1060*'Land use'!R1060/100)</f>
        <v>0.92524000302366016</v>
      </c>
      <c r="W2509" s="204" t="s">
        <v>2276</v>
      </c>
      <c r="X2509" s="21">
        <f>100 * 180 / 'Record info'!K1060</f>
        <v>0.52593133674214754</v>
      </c>
      <c r="Y2509" s="204" t="s">
        <v>2276</v>
      </c>
      <c r="Z2509" s="204" t="s">
        <v>2276</v>
      </c>
      <c r="AA2509" s="204" t="s">
        <v>2276</v>
      </c>
      <c r="AB2509" s="204" t="s">
        <v>2276</v>
      </c>
      <c r="AC2509" s="4" t="s">
        <v>7016</v>
      </c>
      <c r="AD2509" s="204"/>
    </row>
    <row r="2510" spans="1:30" ht="60.5" customHeight="1">
      <c r="A2510" s="19" t="s">
        <v>7019</v>
      </c>
      <c r="B2510" s="19" t="s">
        <v>7020</v>
      </c>
      <c r="C2510" s="204" t="s">
        <v>24</v>
      </c>
      <c r="D2510" s="204" t="s">
        <v>143</v>
      </c>
      <c r="E2510" s="204" t="s">
        <v>45</v>
      </c>
      <c r="F2510" s="204" t="s">
        <v>74</v>
      </c>
      <c r="G2510" s="204" t="s">
        <v>74</v>
      </c>
      <c r="H2510" s="4" t="s">
        <v>523</v>
      </c>
      <c r="I2510" s="204"/>
      <c r="J2510" s="204" t="s">
        <v>2276</v>
      </c>
      <c r="K2510" s="204" t="s">
        <v>2276</v>
      </c>
      <c r="L2510" s="204" t="s">
        <v>2276</v>
      </c>
      <c r="M2510" s="204" t="s">
        <v>2276</v>
      </c>
      <c r="N2510" s="204" t="s">
        <v>2276</v>
      </c>
      <c r="O2510" s="204" t="s">
        <v>2276</v>
      </c>
      <c r="P2510" s="14">
        <v>333</v>
      </c>
      <c r="Q2510" s="204" t="s">
        <v>2276</v>
      </c>
      <c r="R2510" s="204" t="s">
        <v>2276</v>
      </c>
      <c r="S2510" s="204" t="s">
        <v>2276</v>
      </c>
      <c r="T2510" s="204" t="s">
        <v>2276</v>
      </c>
      <c r="U2510" s="204" t="s">
        <v>2276</v>
      </c>
      <c r="V2510" s="204" t="s">
        <v>2276</v>
      </c>
      <c r="W2510" s="204" t="s">
        <v>2276</v>
      </c>
      <c r="X2510" s="204" t="s">
        <v>2276</v>
      </c>
      <c r="Y2510" s="204" t="s">
        <v>2276</v>
      </c>
      <c r="Z2510" s="204" t="s">
        <v>2276</v>
      </c>
      <c r="AA2510" s="204" t="s">
        <v>2276</v>
      </c>
      <c r="AB2510" s="204" t="s">
        <v>2276</v>
      </c>
      <c r="AC2510" s="4" t="s">
        <v>7023</v>
      </c>
      <c r="AD2510" s="4" t="s">
        <v>7028</v>
      </c>
    </row>
    <row r="2511" spans="1:30" ht="65.5" customHeight="1">
      <c r="A2511" s="19" t="s">
        <v>7019</v>
      </c>
      <c r="B2511" s="19" t="s">
        <v>7021</v>
      </c>
      <c r="C2511" s="204" t="s">
        <v>24</v>
      </c>
      <c r="D2511" s="204" t="s">
        <v>143</v>
      </c>
      <c r="E2511" s="204" t="s">
        <v>84</v>
      </c>
      <c r="F2511" s="204" t="s">
        <v>74</v>
      </c>
      <c r="G2511" s="204" t="s">
        <v>74</v>
      </c>
      <c r="H2511" s="4" t="s">
        <v>523</v>
      </c>
      <c r="I2511" s="204"/>
      <c r="J2511" s="178" t="s">
        <v>2276</v>
      </c>
      <c r="K2511" s="204" t="s">
        <v>2276</v>
      </c>
      <c r="L2511" s="204" t="s">
        <v>2276</v>
      </c>
      <c r="M2511" s="204" t="s">
        <v>2276</v>
      </c>
      <c r="N2511" s="204" t="s">
        <v>2276</v>
      </c>
      <c r="O2511" s="204" t="s">
        <v>2276</v>
      </c>
      <c r="P2511" s="204" t="s">
        <v>2276</v>
      </c>
      <c r="Q2511" s="204" t="s">
        <v>2276</v>
      </c>
      <c r="R2511" s="204" t="s">
        <v>2276</v>
      </c>
      <c r="S2511" s="204" t="s">
        <v>2276</v>
      </c>
      <c r="T2511" s="204" t="s">
        <v>2276</v>
      </c>
      <c r="U2511" s="204" t="s">
        <v>2276</v>
      </c>
      <c r="V2511" s="204" t="s">
        <v>2276</v>
      </c>
      <c r="W2511" s="204" t="s">
        <v>2276</v>
      </c>
      <c r="X2511" s="204" t="s">
        <v>2276</v>
      </c>
      <c r="Y2511" s="204" t="s">
        <v>2276</v>
      </c>
      <c r="Z2511" s="204" t="s">
        <v>2276</v>
      </c>
      <c r="AA2511" s="204" t="s">
        <v>2276</v>
      </c>
      <c r="AB2511" s="204" t="s">
        <v>2276</v>
      </c>
      <c r="AC2511" s="4" t="s">
        <v>7023</v>
      </c>
      <c r="AD2511" s="4" t="s">
        <v>7022</v>
      </c>
    </row>
    <row r="2512" spans="1:30" ht="44.5" customHeight="1">
      <c r="A2512" s="19" t="s">
        <v>7025</v>
      </c>
      <c r="B2512" s="19" t="s">
        <v>7030</v>
      </c>
      <c r="C2512" s="204" t="s">
        <v>24</v>
      </c>
      <c r="D2512" s="204" t="s">
        <v>144</v>
      </c>
      <c r="E2512" s="204" t="s">
        <v>137</v>
      </c>
      <c r="F2512" s="4" t="s">
        <v>55</v>
      </c>
      <c r="G2512" s="4" t="s">
        <v>55</v>
      </c>
      <c r="H2512" s="4" t="s">
        <v>523</v>
      </c>
      <c r="I2512" s="204"/>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t="s">
        <v>2276</v>
      </c>
      <c r="AB2512" s="204" t="s">
        <v>2276</v>
      </c>
      <c r="AC2512" s="204"/>
      <c r="AD2512" s="204"/>
    </row>
    <row r="2513" spans="1:30" ht="66.5" customHeight="1">
      <c r="A2513" s="19" t="s">
        <v>7025</v>
      </c>
      <c r="B2513" s="19" t="s">
        <v>7031</v>
      </c>
      <c r="C2513" s="204" t="s">
        <v>24</v>
      </c>
      <c r="D2513" s="204" t="s">
        <v>144</v>
      </c>
      <c r="E2513" s="204" t="s">
        <v>2647</v>
      </c>
      <c r="F2513" s="4" t="s">
        <v>55</v>
      </c>
      <c r="G2513" s="4" t="s">
        <v>55</v>
      </c>
      <c r="H2513" s="4" t="s">
        <v>524</v>
      </c>
      <c r="I2513" s="204"/>
      <c r="J2513" s="21">
        <v>0</v>
      </c>
      <c r="K2513" s="21">
        <v>0</v>
      </c>
      <c r="L2513" s="21">
        <v>0</v>
      </c>
      <c r="M2513" s="21">
        <v>0</v>
      </c>
      <c r="N2513" s="21">
        <v>0</v>
      </c>
      <c r="O2513" s="21">
        <v>0</v>
      </c>
      <c r="P2513" s="21">
        <v>0</v>
      </c>
      <c r="Q2513" s="21">
        <v>0</v>
      </c>
      <c r="R2513" s="21">
        <v>0</v>
      </c>
      <c r="S2513" s="21">
        <v>0</v>
      </c>
      <c r="T2513" s="21">
        <v>0</v>
      </c>
      <c r="U2513" s="21">
        <v>0</v>
      </c>
      <c r="V2513" s="21">
        <v>0</v>
      </c>
      <c r="W2513" s="21">
        <v>0</v>
      </c>
      <c r="X2513" s="21">
        <v>0</v>
      </c>
      <c r="Y2513" s="204" t="s">
        <v>2276</v>
      </c>
      <c r="Z2513" s="204" t="s">
        <v>2276</v>
      </c>
      <c r="AA2513" s="204" t="s">
        <v>2276</v>
      </c>
      <c r="AB2513" s="204" t="s">
        <v>2276</v>
      </c>
      <c r="AC2513" s="4" t="s">
        <v>7033</v>
      </c>
      <c r="AD2513" s="204"/>
    </row>
    <row r="2514" spans="1:30" ht="66.5" customHeight="1">
      <c r="A2514" s="19" t="s">
        <v>7025</v>
      </c>
      <c r="B2514" s="19" t="s">
        <v>7032</v>
      </c>
      <c r="C2514" s="204" t="s">
        <v>24</v>
      </c>
      <c r="D2514" s="204" t="s">
        <v>25</v>
      </c>
      <c r="E2514" s="204" t="s">
        <v>2647</v>
      </c>
      <c r="F2514" s="4" t="s">
        <v>55</v>
      </c>
      <c r="G2514" s="4" t="s">
        <v>55</v>
      </c>
      <c r="H2514" s="4" t="s">
        <v>524</v>
      </c>
      <c r="I2514" s="204"/>
      <c r="J2514" s="21">
        <v>0</v>
      </c>
      <c r="K2514" s="21">
        <v>0</v>
      </c>
      <c r="L2514" s="21">
        <v>0</v>
      </c>
      <c r="M2514" s="21">
        <v>0</v>
      </c>
      <c r="N2514" s="21">
        <v>0</v>
      </c>
      <c r="O2514" s="21">
        <v>0</v>
      </c>
      <c r="P2514" s="21">
        <v>0</v>
      </c>
      <c r="Q2514" s="21">
        <v>0</v>
      </c>
      <c r="R2514" s="21">
        <v>0</v>
      </c>
      <c r="S2514" s="21">
        <v>0</v>
      </c>
      <c r="T2514" s="21">
        <v>0</v>
      </c>
      <c r="U2514" s="21">
        <v>0</v>
      </c>
      <c r="V2514" s="21">
        <v>0</v>
      </c>
      <c r="W2514" s="21">
        <v>0</v>
      </c>
      <c r="X2514" s="21">
        <v>0</v>
      </c>
      <c r="Y2514" s="204" t="s">
        <v>2276</v>
      </c>
      <c r="Z2514" s="204" t="s">
        <v>2276</v>
      </c>
      <c r="AA2514" s="204" t="s">
        <v>2276</v>
      </c>
      <c r="AB2514" s="204" t="s">
        <v>2276</v>
      </c>
      <c r="AC2514" s="4" t="s">
        <v>7033</v>
      </c>
      <c r="AD2514" s="204"/>
    </row>
    <row r="2515" spans="1:30" ht="47.5" customHeight="1">
      <c r="A2515" s="19" t="s">
        <v>7035</v>
      </c>
      <c r="B2515" s="19" t="s">
        <v>7037</v>
      </c>
      <c r="C2515" s="204" t="s">
        <v>24</v>
      </c>
      <c r="D2515" s="204" t="s">
        <v>25</v>
      </c>
      <c r="E2515" s="204" t="s">
        <v>45</v>
      </c>
      <c r="F2515" s="4" t="s">
        <v>55</v>
      </c>
      <c r="G2515" s="4" t="s">
        <v>55</v>
      </c>
      <c r="H2515" s="204" t="s">
        <v>523</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1">
        <f>100*42/200</f>
        <v>21</v>
      </c>
      <c r="W2515" s="204" t="s">
        <v>2276</v>
      </c>
      <c r="X2515" s="21">
        <f>100*42/200</f>
        <v>21</v>
      </c>
      <c r="Y2515" s="204" t="s">
        <v>2276</v>
      </c>
      <c r="Z2515" s="204" t="s">
        <v>404</v>
      </c>
      <c r="AA2515" s="204" t="s">
        <v>405</v>
      </c>
      <c r="AB2515" s="204" t="s">
        <v>2276</v>
      </c>
      <c r="AC2515" s="204" t="s">
        <v>7038</v>
      </c>
      <c r="AD2515" s="4" t="s">
        <v>7039</v>
      </c>
    </row>
    <row r="2516" spans="1:30" ht="108.5" customHeight="1">
      <c r="A2516" s="19" t="s">
        <v>7041</v>
      </c>
      <c r="B2516" s="19" t="s">
        <v>7044</v>
      </c>
      <c r="C2516" s="204" t="s">
        <v>24</v>
      </c>
      <c r="D2516" s="204" t="s">
        <v>2804</v>
      </c>
      <c r="E2516" s="204" t="s">
        <v>45</v>
      </c>
      <c r="F2516" s="4" t="s">
        <v>2662</v>
      </c>
      <c r="G2516" s="4" t="s">
        <v>2662</v>
      </c>
      <c r="H2516" s="204" t="s">
        <v>523</v>
      </c>
      <c r="I2516" s="204"/>
      <c r="J2516" s="204" t="s">
        <v>2276</v>
      </c>
      <c r="K2516" s="204" t="s">
        <v>2276</v>
      </c>
      <c r="L2516" s="204" t="s">
        <v>2276</v>
      </c>
      <c r="M2516" s="204" t="s">
        <v>2276</v>
      </c>
      <c r="N2516" s="204" t="s">
        <v>2276</v>
      </c>
      <c r="O2516" s="21">
        <v>131</v>
      </c>
      <c r="P2516" s="21">
        <v>98</v>
      </c>
      <c r="Q2516" s="204" t="s">
        <v>2276</v>
      </c>
      <c r="R2516" s="204" t="s">
        <v>2276</v>
      </c>
      <c r="S2516" s="204" t="s">
        <v>2276</v>
      </c>
      <c r="T2516" s="204" t="s">
        <v>2276</v>
      </c>
      <c r="U2516" s="204" t="s">
        <v>2276</v>
      </c>
      <c r="V2516" s="204" t="s">
        <v>2276</v>
      </c>
      <c r="W2516" s="204" t="s">
        <v>2276</v>
      </c>
      <c r="X2516" s="204" t="s">
        <v>2276</v>
      </c>
      <c r="Y2516" s="204" t="s">
        <v>2276</v>
      </c>
      <c r="Z2516" s="204" t="s">
        <v>2276</v>
      </c>
      <c r="AA2516" s="204" t="s">
        <v>2276</v>
      </c>
      <c r="AB2516" s="204" t="s">
        <v>2276</v>
      </c>
      <c r="AC2516" s="4"/>
      <c r="AD2516" s="4" t="s">
        <v>7045</v>
      </c>
    </row>
    <row r="2517" spans="1:30" ht="58" customHeight="1">
      <c r="A2517" s="19" t="s">
        <v>7048</v>
      </c>
      <c r="B2517" s="19" t="s">
        <v>7051</v>
      </c>
      <c r="C2517" s="204" t="s">
        <v>1105</v>
      </c>
      <c r="D2517" s="204" t="s">
        <v>1105</v>
      </c>
      <c r="E2517" s="204" t="s">
        <v>1105</v>
      </c>
      <c r="F2517" s="204" t="s">
        <v>2276</v>
      </c>
      <c r="G2517" s="4" t="s">
        <v>2662</v>
      </c>
      <c r="H2517" s="204" t="s">
        <v>523</v>
      </c>
      <c r="I2517" s="204"/>
      <c r="J2517" s="204" t="s">
        <v>2276</v>
      </c>
      <c r="K2517" s="204" t="s">
        <v>2276</v>
      </c>
      <c r="L2517" s="204" t="s">
        <v>2276</v>
      </c>
      <c r="M2517" s="204" t="s">
        <v>2276</v>
      </c>
      <c r="N2517" s="204" t="s">
        <v>2276</v>
      </c>
      <c r="O2517" s="204" t="s">
        <v>2276</v>
      </c>
      <c r="P2517" s="204" t="s">
        <v>2276</v>
      </c>
      <c r="Q2517" s="204" t="s">
        <v>2276</v>
      </c>
      <c r="R2517" s="204" t="s">
        <v>2276</v>
      </c>
      <c r="S2517" s="204" t="s">
        <v>2276</v>
      </c>
      <c r="T2517" s="204" t="s">
        <v>2276</v>
      </c>
      <c r="U2517" s="204" t="s">
        <v>2276</v>
      </c>
      <c r="V2517" s="204" t="s">
        <v>2276</v>
      </c>
      <c r="W2517" s="204" t="s">
        <v>2276</v>
      </c>
      <c r="X2517" s="204" t="s">
        <v>2276</v>
      </c>
      <c r="Y2517" s="204" t="s">
        <v>2276</v>
      </c>
      <c r="Z2517" s="204" t="s">
        <v>38</v>
      </c>
      <c r="AA2517" s="204" t="s">
        <v>425</v>
      </c>
      <c r="AB2517" s="204" t="s">
        <v>76</v>
      </c>
      <c r="AC2517" s="4" t="s">
        <v>7054</v>
      </c>
      <c r="AD2517" s="19" t="s">
        <v>7057</v>
      </c>
    </row>
    <row r="2518" spans="1:30" ht="58" customHeight="1">
      <c r="A2518" s="19" t="s">
        <v>7050</v>
      </c>
      <c r="B2518" s="19" t="s">
        <v>7052</v>
      </c>
      <c r="C2518" s="204" t="s">
        <v>24</v>
      </c>
      <c r="D2518" s="204" t="s">
        <v>25</v>
      </c>
      <c r="E2518" s="204" t="s">
        <v>45</v>
      </c>
      <c r="F2518" s="204" t="s">
        <v>29</v>
      </c>
      <c r="G2518" s="204" t="s">
        <v>29</v>
      </c>
      <c r="H2518" s="204" t="s">
        <v>523</v>
      </c>
      <c r="I2518" s="204"/>
      <c r="J2518" s="204" t="s">
        <v>2276</v>
      </c>
      <c r="K2518" s="204" t="s">
        <v>2276</v>
      </c>
      <c r="L2518" s="204" t="s">
        <v>2276</v>
      </c>
      <c r="M2518" s="204" t="s">
        <v>2276</v>
      </c>
      <c r="N2518" s="204" t="s">
        <v>2276</v>
      </c>
      <c r="O2518" s="204" t="s">
        <v>2276</v>
      </c>
      <c r="P2518" s="204" t="s">
        <v>2276</v>
      </c>
      <c r="Q2518" s="204" t="s">
        <v>2276</v>
      </c>
      <c r="R2518" s="204" t="s">
        <v>2276</v>
      </c>
      <c r="S2518" s="204" t="s">
        <v>2276</v>
      </c>
      <c r="T2518" s="204" t="s">
        <v>2276</v>
      </c>
      <c r="U2518" s="204" t="s">
        <v>2276</v>
      </c>
      <c r="V2518" s="204" t="s">
        <v>2276</v>
      </c>
      <c r="W2518" s="204" t="s">
        <v>2276</v>
      </c>
      <c r="X2518" s="204" t="s">
        <v>2276</v>
      </c>
      <c r="Y2518" s="204" t="s">
        <v>2276</v>
      </c>
      <c r="Z2518" s="204" t="s">
        <v>38</v>
      </c>
      <c r="AA2518" s="204" t="s">
        <v>425</v>
      </c>
      <c r="AB2518" s="204" t="s">
        <v>2276</v>
      </c>
      <c r="AC2518" s="4" t="s">
        <v>7055</v>
      </c>
      <c r="AD2518" s="4" t="s">
        <v>7058</v>
      </c>
    </row>
    <row r="2519" spans="1:30" ht="58" customHeight="1">
      <c r="A2519" s="19" t="s">
        <v>7050</v>
      </c>
      <c r="B2519" s="19" t="s">
        <v>7053</v>
      </c>
      <c r="C2519" s="204" t="s">
        <v>24</v>
      </c>
      <c r="D2519" s="204" t="s">
        <v>1242</v>
      </c>
      <c r="E2519" s="204" t="s">
        <v>45</v>
      </c>
      <c r="F2519" s="4" t="s">
        <v>2662</v>
      </c>
      <c r="G2519" s="4" t="s">
        <v>2662</v>
      </c>
      <c r="H2519" s="204" t="s">
        <v>523</v>
      </c>
      <c r="I2519" s="204"/>
      <c r="J2519" s="204" t="s">
        <v>2276</v>
      </c>
      <c r="K2519" s="204" t="s">
        <v>2276</v>
      </c>
      <c r="L2519" s="204" t="s">
        <v>2276</v>
      </c>
      <c r="M2519" s="204" t="s">
        <v>2276</v>
      </c>
      <c r="N2519" s="204" t="s">
        <v>2276</v>
      </c>
      <c r="O2519" s="204" t="s">
        <v>2276</v>
      </c>
      <c r="P2519" s="204" t="s">
        <v>2276</v>
      </c>
      <c r="Q2519" s="204" t="s">
        <v>2276</v>
      </c>
      <c r="R2519" s="204" t="s">
        <v>2276</v>
      </c>
      <c r="S2519" s="204" t="s">
        <v>2276</v>
      </c>
      <c r="T2519" s="204" t="s">
        <v>2276</v>
      </c>
      <c r="U2519" s="204" t="s">
        <v>2276</v>
      </c>
      <c r="V2519" s="204" t="s">
        <v>2276</v>
      </c>
      <c r="W2519" s="204" t="s">
        <v>2276</v>
      </c>
      <c r="X2519" s="204" t="s">
        <v>2276</v>
      </c>
      <c r="Y2519" s="204" t="s">
        <v>2276</v>
      </c>
      <c r="Z2519" s="204" t="s">
        <v>38</v>
      </c>
      <c r="AA2519" s="204" t="s">
        <v>86</v>
      </c>
      <c r="AB2519" s="204" t="s">
        <v>2655</v>
      </c>
      <c r="AC2519" s="4" t="s">
        <v>7056</v>
      </c>
      <c r="AD2519" s="204"/>
    </row>
    <row r="2520" spans="1:30" ht="26.5" customHeight="1">
      <c r="A2520" s="19" t="s">
        <v>7061</v>
      </c>
      <c r="B2520" s="19" t="s">
        <v>7069</v>
      </c>
      <c r="C2520" s="204" t="s">
        <v>24</v>
      </c>
      <c r="D2520" s="204" t="s">
        <v>25</v>
      </c>
      <c r="E2520" s="204" t="s">
        <v>45</v>
      </c>
      <c r="F2520" s="4" t="s">
        <v>55</v>
      </c>
      <c r="G2520" s="4" t="s">
        <v>55</v>
      </c>
      <c r="H2520" s="204" t="s">
        <v>523</v>
      </c>
      <c r="I2520" s="204"/>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204" t="s">
        <v>2276</v>
      </c>
      <c r="AB2520" s="204" t="s">
        <v>2276</v>
      </c>
      <c r="AC2520" s="204"/>
      <c r="AD2520" s="204"/>
    </row>
    <row r="2521" spans="1:30" ht="26.5" customHeight="1">
      <c r="A2521" s="19" t="s">
        <v>7061</v>
      </c>
      <c r="B2521" s="19" t="s">
        <v>7070</v>
      </c>
      <c r="C2521" s="204" t="s">
        <v>2458</v>
      </c>
      <c r="D2521" s="204" t="s">
        <v>25</v>
      </c>
      <c r="E2521" s="204" t="s">
        <v>45</v>
      </c>
      <c r="F2521" s="4" t="s">
        <v>55</v>
      </c>
      <c r="G2521" s="204" t="s">
        <v>2276</v>
      </c>
      <c r="H2521" s="204" t="s">
        <v>523</v>
      </c>
      <c r="I2521" s="204"/>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t="s">
        <v>2276</v>
      </c>
      <c r="AB2521" s="204" t="s">
        <v>2276</v>
      </c>
      <c r="AC2521" s="204"/>
      <c r="AD2521" s="204"/>
    </row>
    <row r="2522" spans="1:30" ht="26.5" customHeight="1">
      <c r="A2522" s="19" t="s">
        <v>7061</v>
      </c>
      <c r="B2522" s="19" t="s">
        <v>7071</v>
      </c>
      <c r="C2522" s="204" t="s">
        <v>24</v>
      </c>
      <c r="D2522" s="204" t="s">
        <v>27</v>
      </c>
      <c r="E2522" s="204" t="s">
        <v>130</v>
      </c>
      <c r="F2522" s="4" t="s">
        <v>160</v>
      </c>
      <c r="G2522" s="204" t="s">
        <v>2276</v>
      </c>
      <c r="H2522" s="204" t="s">
        <v>523</v>
      </c>
      <c r="I2522" s="204"/>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t="s">
        <v>2276</v>
      </c>
      <c r="AB2522" s="204" t="s">
        <v>2276</v>
      </c>
      <c r="AC2522" s="204"/>
      <c r="AD2522" s="204"/>
    </row>
    <row r="2523" spans="1:30" ht="66" customHeight="1">
      <c r="A2523" s="19" t="s">
        <v>7061</v>
      </c>
      <c r="B2523" s="19" t="s">
        <v>7072</v>
      </c>
      <c r="C2523" s="204" t="s">
        <v>24</v>
      </c>
      <c r="D2523" s="204" t="s">
        <v>2231</v>
      </c>
      <c r="E2523" s="204" t="s">
        <v>84</v>
      </c>
      <c r="F2523" s="4" t="s">
        <v>2662</v>
      </c>
      <c r="G2523" s="4" t="s">
        <v>2662</v>
      </c>
      <c r="H2523" s="204" t="s">
        <v>524</v>
      </c>
      <c r="I2523" s="204"/>
      <c r="J2523" s="21">
        <v>0</v>
      </c>
      <c r="K2523" s="21">
        <v>0</v>
      </c>
      <c r="L2523" s="21">
        <v>0</v>
      </c>
      <c r="M2523" s="21">
        <v>0</v>
      </c>
      <c r="N2523" s="21">
        <v>0</v>
      </c>
      <c r="O2523" s="21">
        <v>0</v>
      </c>
      <c r="P2523" s="21">
        <v>0</v>
      </c>
      <c r="Q2523" s="21">
        <v>0</v>
      </c>
      <c r="R2523" s="21">
        <v>0</v>
      </c>
      <c r="S2523" s="21">
        <v>0</v>
      </c>
      <c r="T2523" s="21">
        <v>0</v>
      </c>
      <c r="U2523" s="21">
        <v>0</v>
      </c>
      <c r="V2523" s="21">
        <v>0</v>
      </c>
      <c r="W2523" s="21">
        <v>0</v>
      </c>
      <c r="X2523" s="21">
        <v>0</v>
      </c>
      <c r="Y2523" s="204" t="s">
        <v>2276</v>
      </c>
      <c r="Z2523" s="204" t="s">
        <v>2276</v>
      </c>
      <c r="AA2523" s="204" t="s">
        <v>2276</v>
      </c>
      <c r="AB2523" s="204" t="s">
        <v>2276</v>
      </c>
      <c r="AC2523" s="4" t="s">
        <v>7073</v>
      </c>
      <c r="AD2523" s="204"/>
    </row>
    <row r="2524" spans="1:30" ht="45.5" customHeight="1">
      <c r="A2524" s="19" t="s">
        <v>7061</v>
      </c>
      <c r="B2524" s="19" t="s">
        <v>7074</v>
      </c>
      <c r="C2524" s="4" t="s">
        <v>24</v>
      </c>
      <c r="D2524" s="4" t="s">
        <v>2346</v>
      </c>
      <c r="E2524" s="4" t="s">
        <v>130</v>
      </c>
      <c r="F2524" s="156" t="s">
        <v>2276</v>
      </c>
      <c r="G2524" s="4" t="s">
        <v>2662</v>
      </c>
      <c r="H2524" s="4" t="s">
        <v>523</v>
      </c>
      <c r="I2524" s="4"/>
      <c r="J2524" s="204" t="s">
        <v>2276</v>
      </c>
      <c r="K2524" s="204" t="s">
        <v>2276</v>
      </c>
      <c r="L2524" s="204" t="s">
        <v>2276</v>
      </c>
      <c r="M2524" s="204" t="s">
        <v>2276</v>
      </c>
      <c r="N2524" s="204" t="s">
        <v>2276</v>
      </c>
      <c r="O2524" s="75">
        <v>3.6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204" t="s">
        <v>2276</v>
      </c>
      <c r="AB2524" s="204" t="s">
        <v>2276</v>
      </c>
      <c r="AC2524" s="4" t="s">
        <v>7076</v>
      </c>
      <c r="AD2524" s="4"/>
    </row>
    <row r="2525" spans="1:30" ht="43.5" customHeight="1">
      <c r="A2525" s="19" t="s">
        <v>7061</v>
      </c>
      <c r="B2525" s="19" t="s">
        <v>7075</v>
      </c>
      <c r="C2525" s="204" t="s">
        <v>24</v>
      </c>
      <c r="D2525" s="204" t="s">
        <v>2346</v>
      </c>
      <c r="E2525" s="204" t="s">
        <v>45</v>
      </c>
      <c r="F2525" s="156" t="s">
        <v>2276</v>
      </c>
      <c r="G2525" s="4" t="s">
        <v>2662</v>
      </c>
      <c r="H2525" s="204" t="s">
        <v>523</v>
      </c>
      <c r="I2525" s="204"/>
      <c r="J2525" s="204" t="s">
        <v>2276</v>
      </c>
      <c r="K2525" s="204" t="s">
        <v>2276</v>
      </c>
      <c r="L2525" s="204" t="s">
        <v>2276</v>
      </c>
      <c r="M2525" s="204" t="s">
        <v>2276</v>
      </c>
      <c r="N2525" s="204" t="s">
        <v>2276</v>
      </c>
      <c r="O2525" s="21">
        <v>3.6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204" t="s">
        <v>2276</v>
      </c>
      <c r="AB2525" s="204" t="s">
        <v>2276</v>
      </c>
      <c r="AC2525" s="4" t="s">
        <v>7076</v>
      </c>
      <c r="AD2525" s="204"/>
    </row>
    <row r="2526" spans="1:30" ht="37.5" customHeight="1">
      <c r="A2526" s="19" t="s">
        <v>7081</v>
      </c>
      <c r="B2526" s="19" t="s">
        <v>7085</v>
      </c>
      <c r="C2526" s="204" t="s">
        <v>24</v>
      </c>
      <c r="D2526" s="204" t="s">
        <v>1242</v>
      </c>
      <c r="E2526" s="4" t="s">
        <v>3209</v>
      </c>
      <c r="F2526" s="4" t="s">
        <v>2662</v>
      </c>
      <c r="G2526" s="4" t="s">
        <v>2662</v>
      </c>
      <c r="H2526" s="204" t="s">
        <v>523</v>
      </c>
      <c r="I2526" s="204"/>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2276</v>
      </c>
      <c r="Y2526" s="204" t="s">
        <v>2276</v>
      </c>
      <c r="Z2526" s="204" t="s">
        <v>35</v>
      </c>
      <c r="AA2526" s="204" t="s">
        <v>35</v>
      </c>
      <c r="AB2526" s="204" t="s">
        <v>2276</v>
      </c>
      <c r="AC2526" s="204"/>
      <c r="AD2526" s="204"/>
    </row>
    <row r="2527" spans="1:30" ht="37.5" customHeight="1">
      <c r="A2527" s="19" t="s">
        <v>7081</v>
      </c>
      <c r="B2527" s="19" t="s">
        <v>7086</v>
      </c>
      <c r="C2527" s="204" t="s">
        <v>24</v>
      </c>
      <c r="D2527" s="204" t="s">
        <v>144</v>
      </c>
      <c r="E2527" s="4" t="s">
        <v>3209</v>
      </c>
      <c r="F2527" s="4" t="s">
        <v>2662</v>
      </c>
      <c r="G2527" s="4" t="s">
        <v>2662</v>
      </c>
      <c r="H2527" s="204" t="s">
        <v>523</v>
      </c>
      <c r="I2527" s="204"/>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2276</v>
      </c>
      <c r="Y2527" s="204" t="s">
        <v>2276</v>
      </c>
      <c r="Z2527" s="204" t="s">
        <v>35</v>
      </c>
      <c r="AA2527" s="204" t="s">
        <v>35</v>
      </c>
      <c r="AB2527" s="204" t="s">
        <v>2276</v>
      </c>
      <c r="AC2527" s="204"/>
      <c r="AD2527" s="204"/>
    </row>
    <row r="2528" spans="1:30" ht="40" customHeight="1">
      <c r="A2528" s="19" t="s">
        <v>7081</v>
      </c>
      <c r="B2528" s="19" t="s">
        <v>7087</v>
      </c>
      <c r="C2528" s="204" t="s">
        <v>24</v>
      </c>
      <c r="D2528" s="204" t="s">
        <v>2804</v>
      </c>
      <c r="E2528" s="204" t="s">
        <v>45</v>
      </c>
      <c r="F2528" s="4" t="s">
        <v>2662</v>
      </c>
      <c r="G2528" s="152" t="s">
        <v>2276</v>
      </c>
      <c r="H2528" s="204" t="s">
        <v>524</v>
      </c>
      <c r="I2528" s="204"/>
      <c r="J2528" s="21">
        <v>0</v>
      </c>
      <c r="K2528" s="21">
        <v>0</v>
      </c>
      <c r="L2528" s="21">
        <v>0</v>
      </c>
      <c r="M2528" s="21">
        <v>0</v>
      </c>
      <c r="N2528" s="21">
        <v>0</v>
      </c>
      <c r="O2528" s="21">
        <v>0</v>
      </c>
      <c r="P2528" s="21">
        <v>0</v>
      </c>
      <c r="Q2528" s="21">
        <v>0</v>
      </c>
      <c r="R2528" s="21">
        <v>0</v>
      </c>
      <c r="S2528" s="21">
        <v>0</v>
      </c>
      <c r="T2528" s="21">
        <v>0</v>
      </c>
      <c r="U2528" s="21">
        <v>0</v>
      </c>
      <c r="V2528" s="21">
        <v>0</v>
      </c>
      <c r="W2528" s="21">
        <v>0</v>
      </c>
      <c r="X2528" s="21">
        <v>0</v>
      </c>
      <c r="Y2528" s="204" t="s">
        <v>2276</v>
      </c>
      <c r="Z2528" s="204" t="s">
        <v>2276</v>
      </c>
      <c r="AA2528" s="204" t="s">
        <v>2276</v>
      </c>
      <c r="AB2528" s="204" t="s">
        <v>2276</v>
      </c>
      <c r="AC2528" s="4" t="s">
        <v>7089</v>
      </c>
      <c r="AD2528" s="204"/>
    </row>
    <row r="2529" spans="1:30" ht="40" customHeight="1">
      <c r="A2529" s="19" t="s">
        <v>7081</v>
      </c>
      <c r="B2529" s="19" t="s">
        <v>7088</v>
      </c>
      <c r="C2529" s="204" t="s">
        <v>24</v>
      </c>
      <c r="D2529" s="204" t="s">
        <v>2804</v>
      </c>
      <c r="E2529" s="204" t="s">
        <v>45</v>
      </c>
      <c r="F2529" s="4" t="s">
        <v>2662</v>
      </c>
      <c r="G2529" s="152" t="s">
        <v>2276</v>
      </c>
      <c r="H2529" s="204" t="s">
        <v>523</v>
      </c>
      <c r="I2529" s="204">
        <v>1979</v>
      </c>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t="s">
        <v>2276</v>
      </c>
      <c r="AB2529" s="204" t="s">
        <v>2276</v>
      </c>
      <c r="AC2529" s="204"/>
      <c r="AD2529" s="204"/>
    </row>
    <row r="2530" spans="1:30" ht="35.5" customHeight="1">
      <c r="A2530" s="19" t="s">
        <v>7096</v>
      </c>
      <c r="B2530" s="19" t="s">
        <v>7185</v>
      </c>
      <c r="C2530" s="204" t="s">
        <v>24</v>
      </c>
      <c r="D2530" s="204" t="s">
        <v>2804</v>
      </c>
      <c r="E2530" s="204" t="s">
        <v>45</v>
      </c>
      <c r="F2530" s="4" t="s">
        <v>2662</v>
      </c>
      <c r="G2530" s="152" t="s">
        <v>2276</v>
      </c>
      <c r="H2530" s="204" t="s">
        <v>523</v>
      </c>
      <c r="I2530" s="20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t="s">
        <v>2276</v>
      </c>
      <c r="AB2530" s="204" t="s">
        <v>2276</v>
      </c>
      <c r="AC2530" s="204"/>
      <c r="AD2530" s="204"/>
    </row>
    <row r="2531" spans="1:30" ht="29">
      <c r="A2531" s="19" t="s">
        <v>7121</v>
      </c>
      <c r="B2531" s="19" t="s">
        <v>7190</v>
      </c>
      <c r="C2531" s="204" t="s">
        <v>24</v>
      </c>
      <c r="D2531" s="204" t="s">
        <v>2804</v>
      </c>
      <c r="E2531" s="204" t="s">
        <v>45</v>
      </c>
      <c r="F2531" s="4" t="s">
        <v>2662</v>
      </c>
      <c r="G2531" s="152" t="s">
        <v>2276</v>
      </c>
      <c r="H2531" s="204" t="s">
        <v>523</v>
      </c>
      <c r="I2531" s="204"/>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t="s">
        <v>2276</v>
      </c>
      <c r="AB2531" s="204" t="s">
        <v>2276</v>
      </c>
      <c r="AC2531" s="204"/>
      <c r="AD2531" s="204"/>
    </row>
    <row r="2532" spans="1:30" ht="29">
      <c r="A2532" s="19" t="s">
        <v>7122</v>
      </c>
      <c r="B2532" s="19" t="s">
        <v>7191</v>
      </c>
      <c r="C2532" s="204" t="s">
        <v>24</v>
      </c>
      <c r="D2532" s="204" t="s">
        <v>2804</v>
      </c>
      <c r="E2532" s="204" t="s">
        <v>45</v>
      </c>
      <c r="F2532" s="4" t="s">
        <v>2662</v>
      </c>
      <c r="G2532" s="152" t="s">
        <v>2276</v>
      </c>
      <c r="H2532" s="204" t="s">
        <v>523</v>
      </c>
      <c r="I2532" s="204"/>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t="s">
        <v>2276</v>
      </c>
      <c r="AB2532" s="204" t="s">
        <v>2276</v>
      </c>
      <c r="AC2532" s="204"/>
      <c r="AD2532" s="204"/>
    </row>
    <row r="2533" spans="1:30" ht="29">
      <c r="A2533" s="19" t="s">
        <v>7123</v>
      </c>
      <c r="B2533" s="19" t="s">
        <v>7192</v>
      </c>
      <c r="C2533" s="204" t="s">
        <v>24</v>
      </c>
      <c r="D2533" s="204" t="s">
        <v>2804</v>
      </c>
      <c r="E2533" s="204" t="s">
        <v>45</v>
      </c>
      <c r="F2533" s="4" t="s">
        <v>2662</v>
      </c>
      <c r="G2533" s="152" t="s">
        <v>2276</v>
      </c>
      <c r="H2533" s="20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t="s">
        <v>2276</v>
      </c>
      <c r="AB2533" s="204" t="s">
        <v>2276</v>
      </c>
      <c r="AC2533" s="204"/>
      <c r="AD2533" s="204"/>
    </row>
    <row r="2534" spans="1:30" ht="29">
      <c r="A2534" s="19" t="s">
        <v>7124</v>
      </c>
      <c r="B2534" s="19" t="s">
        <v>7193</v>
      </c>
      <c r="C2534" s="204" t="s">
        <v>24</v>
      </c>
      <c r="D2534" s="204" t="s">
        <v>2804</v>
      </c>
      <c r="E2534" s="204" t="s">
        <v>45</v>
      </c>
      <c r="F2534" s="4" t="s">
        <v>2662</v>
      </c>
      <c r="G2534" s="152" t="s">
        <v>2276</v>
      </c>
      <c r="H2534" s="204" t="s">
        <v>523</v>
      </c>
      <c r="I2534" s="204"/>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t="s">
        <v>2276</v>
      </c>
      <c r="AB2534" s="204" t="s">
        <v>2276</v>
      </c>
      <c r="AC2534" s="204"/>
      <c r="AD2534" s="204"/>
    </row>
    <row r="2535" spans="1:30" ht="29">
      <c r="A2535" s="19" t="s">
        <v>7125</v>
      </c>
      <c r="B2535" s="19" t="s">
        <v>7194</v>
      </c>
      <c r="C2535" s="204" t="s">
        <v>24</v>
      </c>
      <c r="D2535" s="204" t="s">
        <v>2804</v>
      </c>
      <c r="E2535" s="204" t="s">
        <v>45</v>
      </c>
      <c r="F2535" s="4" t="s">
        <v>2662</v>
      </c>
      <c r="G2535" s="152" t="s">
        <v>2276</v>
      </c>
      <c r="H2535" s="204" t="s">
        <v>523</v>
      </c>
      <c r="I2535" s="204"/>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t="s">
        <v>2276</v>
      </c>
      <c r="AB2535" s="204" t="s">
        <v>2276</v>
      </c>
      <c r="AC2535" s="204"/>
      <c r="AD2535" s="204"/>
    </row>
    <row r="2536" spans="1:30" ht="29">
      <c r="A2536" s="19" t="s">
        <v>7126</v>
      </c>
      <c r="B2536" s="19" t="s">
        <v>7202</v>
      </c>
      <c r="C2536" s="204" t="s">
        <v>24</v>
      </c>
      <c r="D2536" s="204" t="s">
        <v>2804</v>
      </c>
      <c r="E2536" s="204" t="s">
        <v>45</v>
      </c>
      <c r="F2536" s="4" t="s">
        <v>2662</v>
      </c>
      <c r="G2536" s="152" t="s">
        <v>2276</v>
      </c>
      <c r="H2536" s="204" t="s">
        <v>523</v>
      </c>
      <c r="I2536" s="204"/>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t="s">
        <v>2276</v>
      </c>
      <c r="AB2536" s="204" t="s">
        <v>2276</v>
      </c>
      <c r="AC2536" s="204"/>
      <c r="AD2536" s="204"/>
    </row>
    <row r="2537" spans="1:30" ht="37" customHeight="1">
      <c r="A2537" s="19" t="s">
        <v>7170</v>
      </c>
      <c r="B2537" s="19" t="s">
        <v>7222</v>
      </c>
      <c r="C2537" s="204" t="s">
        <v>24</v>
      </c>
      <c r="D2537" s="204" t="s">
        <v>2804</v>
      </c>
      <c r="E2537" s="204" t="s">
        <v>45</v>
      </c>
      <c r="F2537" s="4" t="s">
        <v>2662</v>
      </c>
      <c r="G2537" s="152" t="s">
        <v>2276</v>
      </c>
      <c r="H2537" s="204" t="s">
        <v>523</v>
      </c>
      <c r="I2537" s="204"/>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04" t="s">
        <v>2276</v>
      </c>
      <c r="X2537" s="204" t="s">
        <v>2276</v>
      </c>
      <c r="Y2537" s="204" t="s">
        <v>2276</v>
      </c>
      <c r="Z2537" s="204" t="s">
        <v>34</v>
      </c>
      <c r="AA2537" s="204" t="s">
        <v>405</v>
      </c>
      <c r="AB2537" s="204" t="s">
        <v>2276</v>
      </c>
      <c r="AC2537" s="11" t="s">
        <v>7223</v>
      </c>
      <c r="AD2537" s="204"/>
    </row>
    <row r="2538" spans="1:30" s="203" customFormat="1" ht="37" customHeight="1">
      <c r="A2538" s="19" t="s">
        <v>7170</v>
      </c>
      <c r="B2538" s="19" t="s">
        <v>7224</v>
      </c>
      <c r="C2538" s="204" t="s">
        <v>2458</v>
      </c>
      <c r="D2538" s="204" t="s">
        <v>2804</v>
      </c>
      <c r="E2538" s="204" t="s">
        <v>45</v>
      </c>
      <c r="F2538" s="4" t="s">
        <v>2662</v>
      </c>
      <c r="G2538" s="152" t="s">
        <v>2276</v>
      </c>
      <c r="H2538" s="204" t="s">
        <v>523</v>
      </c>
      <c r="I2538" s="204"/>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204" t="s">
        <v>2276</v>
      </c>
      <c r="AB2538" s="204" t="s">
        <v>2276</v>
      </c>
      <c r="AC2538" s="11" t="s">
        <v>7226</v>
      </c>
      <c r="AD2538" s="204"/>
    </row>
    <row r="2539" spans="1:30" ht="32.5" customHeight="1">
      <c r="A2539" s="19" t="s">
        <v>7171</v>
      </c>
      <c r="B2539" s="19" t="s">
        <v>7225</v>
      </c>
      <c r="C2539" s="204" t="s">
        <v>24</v>
      </c>
      <c r="D2539" s="204" t="s">
        <v>2804</v>
      </c>
      <c r="E2539" s="204" t="s">
        <v>45</v>
      </c>
      <c r="F2539" s="4" t="s">
        <v>2662</v>
      </c>
      <c r="G2539" s="152" t="s">
        <v>2276</v>
      </c>
      <c r="H2539" s="204" t="s">
        <v>523</v>
      </c>
      <c r="I2539" s="204"/>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04" t="s">
        <v>2276</v>
      </c>
      <c r="X2539" s="204" t="s">
        <v>2276</v>
      </c>
      <c r="Y2539" s="204" t="s">
        <v>2276</v>
      </c>
      <c r="Z2539" s="204" t="s">
        <v>34</v>
      </c>
      <c r="AA2539" s="204" t="s">
        <v>405</v>
      </c>
      <c r="AB2539" s="204" t="s">
        <v>2276</v>
      </c>
      <c r="AC2539" s="11" t="s">
        <v>7223</v>
      </c>
      <c r="AD2539" s="204"/>
    </row>
    <row r="2540" spans="1:30" ht="35.5" customHeight="1">
      <c r="A2540" s="19" t="s">
        <v>7172</v>
      </c>
      <c r="B2540" s="19" t="s">
        <v>7227</v>
      </c>
      <c r="C2540" s="204" t="s">
        <v>24</v>
      </c>
      <c r="D2540" s="204" t="s">
        <v>2804</v>
      </c>
      <c r="E2540" s="204" t="s">
        <v>45</v>
      </c>
      <c r="F2540" s="4" t="s">
        <v>2662</v>
      </c>
      <c r="G2540" s="152" t="s">
        <v>2276</v>
      </c>
      <c r="H2540" s="20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34</v>
      </c>
      <c r="AA2540" s="204" t="s">
        <v>405</v>
      </c>
      <c r="AB2540" s="204" t="s">
        <v>2276</v>
      </c>
      <c r="AC2540" s="11" t="s">
        <v>7223</v>
      </c>
      <c r="AD2540" s="204"/>
    </row>
    <row r="2541" spans="1:30" ht="29">
      <c r="A2541" s="19" t="s">
        <v>7173</v>
      </c>
      <c r="B2541" s="19" t="s">
        <v>7229</v>
      </c>
      <c r="C2541" s="204" t="s">
        <v>24</v>
      </c>
      <c r="D2541" s="204" t="s">
        <v>2804</v>
      </c>
      <c r="E2541" s="204" t="s">
        <v>45</v>
      </c>
      <c r="F2541" s="4" t="s">
        <v>2662</v>
      </c>
      <c r="G2541" s="152" t="s">
        <v>2276</v>
      </c>
      <c r="H2541" s="20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204" t="s">
        <v>2276</v>
      </c>
      <c r="AB2541" s="204" t="s">
        <v>2276</v>
      </c>
      <c r="AC2541" s="204"/>
      <c r="AD2541" s="204"/>
    </row>
    <row r="2542" spans="1:30" ht="29">
      <c r="A2542" s="19" t="s">
        <v>7173</v>
      </c>
      <c r="B2542" s="19" t="s">
        <v>7230</v>
      </c>
      <c r="C2542" s="204" t="s">
        <v>24</v>
      </c>
      <c r="D2542" s="204" t="s">
        <v>2804</v>
      </c>
      <c r="E2542" s="204" t="s">
        <v>5005</v>
      </c>
      <c r="F2542" s="4" t="s">
        <v>2662</v>
      </c>
      <c r="G2542" s="152" t="s">
        <v>2276</v>
      </c>
      <c r="H2542" s="20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t="s">
        <v>2276</v>
      </c>
      <c r="AB2542" s="204" t="s">
        <v>2276</v>
      </c>
      <c r="AC2542" s="204"/>
      <c r="AD2542" s="204"/>
    </row>
    <row r="2543" spans="1:30" ht="29">
      <c r="A2543" s="19" t="s">
        <v>7231</v>
      </c>
      <c r="B2543" s="19" t="s">
        <v>7232</v>
      </c>
      <c r="C2543" s="204" t="s">
        <v>24</v>
      </c>
      <c r="D2543" s="204" t="s">
        <v>2804</v>
      </c>
      <c r="E2543" s="204" t="s">
        <v>45</v>
      </c>
      <c r="F2543" s="4" t="s">
        <v>2662</v>
      </c>
      <c r="G2543" s="152" t="s">
        <v>2276</v>
      </c>
      <c r="H2543" s="20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t="s">
        <v>2276</v>
      </c>
      <c r="AB2543" s="204" t="s">
        <v>2276</v>
      </c>
      <c r="AC2543" s="204"/>
      <c r="AD2543" s="204"/>
    </row>
    <row r="2544" spans="1:30" ht="29">
      <c r="A2544" s="19" t="s">
        <v>7231</v>
      </c>
      <c r="B2544" s="19" t="s">
        <v>7233</v>
      </c>
      <c r="C2544" s="204" t="s">
        <v>24</v>
      </c>
      <c r="D2544" s="204" t="s">
        <v>2804</v>
      </c>
      <c r="E2544" s="204" t="s">
        <v>5005</v>
      </c>
      <c r="F2544" s="4" t="s">
        <v>2662</v>
      </c>
      <c r="G2544" s="152" t="s">
        <v>2276</v>
      </c>
      <c r="H2544" s="20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t="s">
        <v>2276</v>
      </c>
      <c r="AB2544" s="204" t="s">
        <v>2276</v>
      </c>
      <c r="AC2544" s="204"/>
      <c r="AD2544" s="204"/>
    </row>
    <row r="2545" spans="1:30" ht="31.5" customHeight="1">
      <c r="A2545" s="19" t="s">
        <v>7235</v>
      </c>
      <c r="B2545" s="19" t="s">
        <v>7242</v>
      </c>
      <c r="C2545" s="204" t="s">
        <v>24</v>
      </c>
      <c r="D2545" s="204" t="s">
        <v>1242</v>
      </c>
      <c r="E2545" s="204" t="s">
        <v>3209</v>
      </c>
      <c r="F2545" s="4" t="s">
        <v>2662</v>
      </c>
      <c r="G2545" s="152" t="s">
        <v>2276</v>
      </c>
      <c r="H2545" s="20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14">
        <v>10000</v>
      </c>
      <c r="U2545" s="204" t="s">
        <v>2276</v>
      </c>
      <c r="V2545" s="204" t="s">
        <v>2276</v>
      </c>
      <c r="W2545" s="204" t="s">
        <v>2276</v>
      </c>
      <c r="X2545" s="14">
        <f>10000/'Record info'!K1110</f>
        <v>6.4794494541387804E-3</v>
      </c>
      <c r="Y2545" s="204" t="s">
        <v>2276</v>
      </c>
      <c r="Z2545" s="204" t="s">
        <v>2276</v>
      </c>
      <c r="AA2545" s="204" t="s">
        <v>2276</v>
      </c>
      <c r="AB2545" s="204" t="s">
        <v>2276</v>
      </c>
      <c r="AC2545" s="4" t="s">
        <v>7251</v>
      </c>
      <c r="AD2545" s="204"/>
    </row>
    <row r="2546" spans="1:30" ht="39" customHeight="1">
      <c r="A2546" s="19" t="s">
        <v>7236</v>
      </c>
      <c r="B2546" s="19" t="s">
        <v>7243</v>
      </c>
      <c r="C2546" s="204" t="s">
        <v>24</v>
      </c>
      <c r="D2546" s="204" t="s">
        <v>1242</v>
      </c>
      <c r="E2546" s="204" t="s">
        <v>3209</v>
      </c>
      <c r="F2546" s="4" t="s">
        <v>2662</v>
      </c>
      <c r="G2546" s="152" t="s">
        <v>2276</v>
      </c>
      <c r="H2546" s="204" t="s">
        <v>524</v>
      </c>
      <c r="I2546" s="204"/>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04" t="s">
        <v>2276</v>
      </c>
      <c r="Z2546" s="204" t="s">
        <v>2276</v>
      </c>
      <c r="AA2546" s="204" t="s">
        <v>2276</v>
      </c>
      <c r="AB2546" s="204" t="s">
        <v>2276</v>
      </c>
      <c r="AC2546" s="4" t="s">
        <v>7251</v>
      </c>
      <c r="AD2546" s="204"/>
    </row>
    <row r="2547" spans="1:30" ht="31.5" customHeight="1">
      <c r="A2547" s="19" t="s">
        <v>7236</v>
      </c>
      <c r="B2547" s="19" t="s">
        <v>7244</v>
      </c>
      <c r="C2547" s="204" t="s">
        <v>24</v>
      </c>
      <c r="D2547" s="204" t="s">
        <v>1242</v>
      </c>
      <c r="E2547" s="204" t="s">
        <v>3209</v>
      </c>
      <c r="F2547" s="4" t="s">
        <v>2662</v>
      </c>
      <c r="G2547" s="152" t="s">
        <v>2276</v>
      </c>
      <c r="H2547" s="204" t="s">
        <v>524</v>
      </c>
      <c r="I2547" s="204"/>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04" t="s">
        <v>2276</v>
      </c>
      <c r="Z2547" s="204" t="s">
        <v>2276</v>
      </c>
      <c r="AA2547" s="204" t="s">
        <v>2276</v>
      </c>
      <c r="AB2547" s="204" t="s">
        <v>2276</v>
      </c>
      <c r="AC2547" s="204"/>
      <c r="AD2547" s="204"/>
    </row>
    <row r="2548" spans="1:30" ht="32.5" customHeight="1">
      <c r="A2548" s="19" t="s">
        <v>7237</v>
      </c>
      <c r="B2548" s="19" t="s">
        <v>7250</v>
      </c>
      <c r="C2548" s="204" t="s">
        <v>24</v>
      </c>
      <c r="D2548" s="204" t="s">
        <v>1242</v>
      </c>
      <c r="E2548" s="204" t="s">
        <v>3209</v>
      </c>
      <c r="F2548" s="4" t="s">
        <v>2662</v>
      </c>
      <c r="G2548" s="152" t="s">
        <v>2276</v>
      </c>
      <c r="H2548" s="204" t="s">
        <v>523</v>
      </c>
      <c r="I2548" s="204"/>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1">
        <v>0.6</v>
      </c>
      <c r="Y2548" s="204" t="s">
        <v>2276</v>
      </c>
      <c r="Z2548" s="204" t="s">
        <v>2276</v>
      </c>
      <c r="AA2548" s="204" t="s">
        <v>2276</v>
      </c>
      <c r="AB2548" s="204" t="s">
        <v>2276</v>
      </c>
      <c r="AC2548" s="204"/>
      <c r="AD2548" s="204"/>
    </row>
    <row r="2549" spans="1:30" ht="29" customHeight="1">
      <c r="A2549" s="19" t="s">
        <v>7238</v>
      </c>
      <c r="B2549" s="19" t="s">
        <v>7252</v>
      </c>
      <c r="C2549" s="204" t="s">
        <v>24</v>
      </c>
      <c r="D2549" s="204" t="s">
        <v>1242</v>
      </c>
      <c r="E2549" s="204" t="s">
        <v>3209</v>
      </c>
      <c r="F2549" s="4" t="s">
        <v>2662</v>
      </c>
      <c r="G2549" s="152" t="s">
        <v>2276</v>
      </c>
      <c r="H2549" s="20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30" customHeight="1">
      <c r="A2550" s="19" t="s">
        <v>7238</v>
      </c>
      <c r="B2550" s="204" t="s">
        <v>7254</v>
      </c>
      <c r="C2550" s="204" t="s">
        <v>24</v>
      </c>
      <c r="D2550" s="204" t="s">
        <v>2804</v>
      </c>
      <c r="E2550" s="204" t="s">
        <v>45</v>
      </c>
      <c r="F2550" s="4" t="s">
        <v>2662</v>
      </c>
      <c r="G2550" s="152" t="s">
        <v>2276</v>
      </c>
      <c r="H2550" s="204" t="s">
        <v>523</v>
      </c>
      <c r="I2550" s="204"/>
      <c r="J2550" s="204" t="s">
        <v>2276</v>
      </c>
      <c r="K2550" s="204" t="s">
        <v>2276</v>
      </c>
      <c r="L2550" s="204" t="s">
        <v>2276</v>
      </c>
      <c r="M2550" s="204" t="s">
        <v>2276</v>
      </c>
      <c r="N2550" s="204" t="s">
        <v>2276</v>
      </c>
      <c r="O2550" s="204" t="s">
        <v>2276</v>
      </c>
      <c r="P2550" s="204" t="s">
        <v>2276</v>
      </c>
      <c r="Q2550" s="204" t="s">
        <v>2276</v>
      </c>
      <c r="R2550" s="204" t="s">
        <v>2276</v>
      </c>
      <c r="S2550" s="21">
        <v>10000</v>
      </c>
      <c r="T2550" s="204" t="s">
        <v>2276</v>
      </c>
      <c r="U2550" s="204" t="s">
        <v>2276</v>
      </c>
      <c r="V2550" s="204" t="s">
        <v>2276</v>
      </c>
      <c r="W2550" s="21">
        <f>S2550/'Record info'!K1113</f>
        <v>1.3080444735120995</v>
      </c>
      <c r="X2550" s="204" t="s">
        <v>2276</v>
      </c>
      <c r="Y2550" s="204" t="s">
        <v>2276</v>
      </c>
      <c r="Z2550" s="204" t="s">
        <v>2276</v>
      </c>
      <c r="AA2550" s="204" t="s">
        <v>2276</v>
      </c>
      <c r="AB2550" s="204" t="s">
        <v>2276</v>
      </c>
      <c r="AC2550" s="204"/>
      <c r="AD2550" s="204"/>
    </row>
    <row r="2551" spans="1:30" ht="34.5" customHeight="1">
      <c r="A2551" s="19" t="s">
        <v>7238</v>
      </c>
      <c r="B2551" s="19" t="s">
        <v>7255</v>
      </c>
      <c r="C2551" s="204" t="s">
        <v>2458</v>
      </c>
      <c r="D2551" s="204" t="s">
        <v>2804</v>
      </c>
      <c r="E2551" s="204" t="s">
        <v>45</v>
      </c>
      <c r="F2551" s="4" t="s">
        <v>2662</v>
      </c>
      <c r="G2551" s="152" t="s">
        <v>2276</v>
      </c>
      <c r="H2551" s="204" t="s">
        <v>523</v>
      </c>
      <c r="I2551" s="204"/>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t="s">
        <v>2276</v>
      </c>
      <c r="AB2551" s="204" t="s">
        <v>2276</v>
      </c>
      <c r="AC2551" s="204"/>
      <c r="AD2551" s="204"/>
    </row>
    <row r="2552" spans="1:30" ht="28" customHeight="1">
      <c r="A2552" s="19" t="s">
        <v>7239</v>
      </c>
      <c r="B2552" s="19" t="s">
        <v>7253</v>
      </c>
      <c r="C2552" s="204" t="s">
        <v>24</v>
      </c>
      <c r="D2552" s="204" t="s">
        <v>2804</v>
      </c>
      <c r="E2552" s="204" t="s">
        <v>45</v>
      </c>
      <c r="F2552" s="4" t="s">
        <v>2662</v>
      </c>
      <c r="G2552" s="152" t="s">
        <v>2276</v>
      </c>
      <c r="H2552" s="204" t="s">
        <v>523</v>
      </c>
      <c r="I2552" s="204">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t="s">
        <v>2276</v>
      </c>
      <c r="AB2552" s="204" t="s">
        <v>2276</v>
      </c>
      <c r="AC2552" s="204"/>
      <c r="AD2552" s="204"/>
    </row>
    <row r="2553" spans="1:30" ht="28" customHeight="1">
      <c r="A2553" s="19" t="s">
        <v>7239</v>
      </c>
      <c r="B2553" s="19" t="s">
        <v>7260</v>
      </c>
      <c r="C2553" s="204" t="s">
        <v>24</v>
      </c>
      <c r="D2553" s="204" t="s">
        <v>2804</v>
      </c>
      <c r="E2553" s="204" t="s">
        <v>45</v>
      </c>
      <c r="F2553" s="4" t="s">
        <v>2662</v>
      </c>
      <c r="G2553" s="152" t="s">
        <v>2276</v>
      </c>
      <c r="H2553" s="204" t="s">
        <v>523</v>
      </c>
      <c r="I2553" s="204">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204"/>
      <c r="AD2553" s="204"/>
    </row>
    <row r="2554" spans="1:30" ht="28" customHeight="1">
      <c r="A2554" s="19" t="s">
        <v>7239</v>
      </c>
      <c r="B2554" s="19" t="s">
        <v>7261</v>
      </c>
      <c r="C2554" s="204" t="s">
        <v>24</v>
      </c>
      <c r="D2554" s="204" t="s">
        <v>1242</v>
      </c>
      <c r="E2554" s="204" t="s">
        <v>3209</v>
      </c>
      <c r="F2554" s="4" t="s">
        <v>2662</v>
      </c>
      <c r="G2554" s="152" t="s">
        <v>2276</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t="s">
        <v>2276</v>
      </c>
      <c r="AB2554" s="204" t="s">
        <v>2276</v>
      </c>
      <c r="AC2554" s="204"/>
      <c r="AD2554" s="204"/>
    </row>
    <row r="2555" spans="1:30" ht="36" customHeight="1">
      <c r="A2555" s="19" t="s">
        <v>7269</v>
      </c>
      <c r="B2555" s="19" t="s">
        <v>7296</v>
      </c>
      <c r="C2555" s="204" t="s">
        <v>24</v>
      </c>
      <c r="D2555" s="204" t="s">
        <v>1242</v>
      </c>
      <c r="E2555" s="204" t="s">
        <v>3209</v>
      </c>
      <c r="F2555" s="152" t="s">
        <v>2276</v>
      </c>
      <c r="G2555" s="152" t="s">
        <v>2276</v>
      </c>
      <c r="H2555" s="204" t="s">
        <v>524</v>
      </c>
      <c r="I2555" s="204"/>
      <c r="J2555" s="177">
        <v>0</v>
      </c>
      <c r="K2555" s="21">
        <v>0</v>
      </c>
      <c r="L2555" s="21">
        <v>0</v>
      </c>
      <c r="M2555" s="21">
        <v>0</v>
      </c>
      <c r="N2555" s="21">
        <v>0</v>
      </c>
      <c r="O2555" s="21">
        <v>0</v>
      </c>
      <c r="P2555" s="21">
        <v>0</v>
      </c>
      <c r="Q2555" s="21">
        <v>0</v>
      </c>
      <c r="R2555" s="21">
        <v>0</v>
      </c>
      <c r="S2555" s="21">
        <v>0</v>
      </c>
      <c r="T2555" s="21">
        <v>0</v>
      </c>
      <c r="U2555" s="21">
        <v>0</v>
      </c>
      <c r="V2555" s="21">
        <v>0</v>
      </c>
      <c r="W2555" s="21">
        <v>0</v>
      </c>
      <c r="X2555" s="21">
        <v>0</v>
      </c>
      <c r="Y2555" s="204" t="s">
        <v>2276</v>
      </c>
      <c r="Z2555" s="204" t="s">
        <v>2276</v>
      </c>
      <c r="AA2555" s="204" t="s">
        <v>2276</v>
      </c>
      <c r="AB2555" s="204" t="s">
        <v>2276</v>
      </c>
      <c r="AC2555" s="204"/>
      <c r="AD2555" s="204"/>
    </row>
    <row r="2556" spans="1:30" ht="36" customHeight="1">
      <c r="A2556" s="19" t="s">
        <v>7282</v>
      </c>
      <c r="B2556" s="19" t="s">
        <v>7297</v>
      </c>
      <c r="C2556" s="204" t="s">
        <v>24</v>
      </c>
      <c r="D2556" s="204" t="s">
        <v>1242</v>
      </c>
      <c r="E2556" s="204" t="s">
        <v>3209</v>
      </c>
      <c r="F2556" s="152" t="s">
        <v>2276</v>
      </c>
      <c r="G2556" s="152" t="s">
        <v>2276</v>
      </c>
      <c r="H2556" s="204" t="s">
        <v>524</v>
      </c>
      <c r="I2556" s="204"/>
      <c r="J2556" s="177">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04" t="s">
        <v>2276</v>
      </c>
      <c r="Z2556" s="204" t="s">
        <v>2276</v>
      </c>
      <c r="AA2556" s="204" t="s">
        <v>2276</v>
      </c>
      <c r="AB2556" s="204" t="s">
        <v>2276</v>
      </c>
      <c r="AC2556" s="204"/>
      <c r="AD2556" s="204"/>
    </row>
    <row r="2557" spans="1:30" ht="36" customHeight="1">
      <c r="A2557" s="19" t="s">
        <v>7283</v>
      </c>
      <c r="B2557" s="19" t="s">
        <v>7298</v>
      </c>
      <c r="C2557" s="204" t="s">
        <v>24</v>
      </c>
      <c r="D2557" s="204" t="s">
        <v>1242</v>
      </c>
      <c r="E2557" s="204" t="s">
        <v>3209</v>
      </c>
      <c r="F2557" s="152" t="s">
        <v>2276</v>
      </c>
      <c r="G2557" s="152" t="s">
        <v>2276</v>
      </c>
      <c r="H2557" s="204" t="s">
        <v>524</v>
      </c>
      <c r="I2557" s="204"/>
      <c r="J2557" s="177">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04" t="s">
        <v>2276</v>
      </c>
      <c r="Z2557" s="204" t="s">
        <v>2276</v>
      </c>
      <c r="AA2557" s="204" t="s">
        <v>2276</v>
      </c>
      <c r="AB2557" s="204" t="s">
        <v>2276</v>
      </c>
      <c r="AC2557" s="204"/>
      <c r="AD2557" s="204"/>
    </row>
    <row r="2558" spans="1:30" ht="36" customHeight="1">
      <c r="A2558" s="19" t="s">
        <v>7284</v>
      </c>
      <c r="B2558" s="19" t="s">
        <v>7299</v>
      </c>
      <c r="C2558" s="204" t="s">
        <v>24</v>
      </c>
      <c r="D2558" s="204" t="s">
        <v>1242</v>
      </c>
      <c r="E2558" s="204" t="s">
        <v>3209</v>
      </c>
      <c r="F2558" s="152" t="s">
        <v>2276</v>
      </c>
      <c r="G2558" s="152" t="s">
        <v>2276</v>
      </c>
      <c r="H2558" s="204" t="s">
        <v>524</v>
      </c>
      <c r="I2558" s="204"/>
      <c r="J2558" s="177">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4" t="s">
        <v>2276</v>
      </c>
      <c r="Z2558" s="204" t="s">
        <v>2276</v>
      </c>
      <c r="AA2558" s="204" t="s">
        <v>2276</v>
      </c>
      <c r="AB2558" s="204" t="s">
        <v>2276</v>
      </c>
      <c r="AC2558" s="204"/>
      <c r="AD2558" s="204"/>
    </row>
    <row r="2559" spans="1:30" ht="36" customHeight="1">
      <c r="A2559" s="19" t="s">
        <v>7285</v>
      </c>
      <c r="B2559" s="19" t="s">
        <v>7300</v>
      </c>
      <c r="C2559" s="204" t="s">
        <v>24</v>
      </c>
      <c r="D2559" s="204" t="s">
        <v>1242</v>
      </c>
      <c r="E2559" s="204" t="s">
        <v>3209</v>
      </c>
      <c r="F2559" s="152" t="s">
        <v>2276</v>
      </c>
      <c r="G2559" s="152" t="s">
        <v>2276</v>
      </c>
      <c r="H2559" s="204" t="s">
        <v>524</v>
      </c>
      <c r="I2559" s="204"/>
      <c r="J2559" s="177">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4" t="s">
        <v>2276</v>
      </c>
      <c r="Z2559" s="204" t="s">
        <v>2276</v>
      </c>
      <c r="AA2559" s="204" t="s">
        <v>2276</v>
      </c>
      <c r="AB2559" s="204" t="s">
        <v>2276</v>
      </c>
      <c r="AC2559" s="204"/>
      <c r="AD2559" s="204"/>
    </row>
    <row r="2560" spans="1:30" ht="36" customHeight="1">
      <c r="A2560" s="19" t="s">
        <v>7286</v>
      </c>
      <c r="B2560" s="19" t="s">
        <v>7301</v>
      </c>
      <c r="C2560" s="204" t="s">
        <v>24</v>
      </c>
      <c r="D2560" s="204" t="s">
        <v>1242</v>
      </c>
      <c r="E2560" s="204" t="s">
        <v>3209</v>
      </c>
      <c r="F2560" s="152" t="s">
        <v>2276</v>
      </c>
      <c r="G2560" s="152" t="s">
        <v>2276</v>
      </c>
      <c r="H2560" s="204" t="s">
        <v>524</v>
      </c>
      <c r="I2560" s="204"/>
      <c r="J2560" s="177">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204"/>
      <c r="AD2560" s="204"/>
    </row>
    <row r="2561" spans="1:30" ht="36" customHeight="1">
      <c r="A2561" s="19" t="s">
        <v>7287</v>
      </c>
      <c r="B2561" s="19" t="s">
        <v>7302</v>
      </c>
      <c r="C2561" s="204" t="s">
        <v>24</v>
      </c>
      <c r="D2561" s="204" t="s">
        <v>1242</v>
      </c>
      <c r="E2561" s="204" t="s">
        <v>3209</v>
      </c>
      <c r="F2561" s="152" t="s">
        <v>2276</v>
      </c>
      <c r="G2561" s="152" t="s">
        <v>2276</v>
      </c>
      <c r="H2561" s="204" t="s">
        <v>524</v>
      </c>
      <c r="I2561" s="204"/>
      <c r="J2561" s="177">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04" t="s">
        <v>2276</v>
      </c>
      <c r="Z2561" s="204" t="s">
        <v>2276</v>
      </c>
      <c r="AA2561" s="204" t="s">
        <v>2276</v>
      </c>
      <c r="AB2561" s="204" t="s">
        <v>2276</v>
      </c>
      <c r="AC2561" s="11" t="s">
        <v>7309</v>
      </c>
      <c r="AD2561" s="204"/>
    </row>
    <row r="2562" spans="1:30" ht="36" customHeight="1">
      <c r="A2562" s="19" t="s">
        <v>7288</v>
      </c>
      <c r="B2562" s="19" t="s">
        <v>7303</v>
      </c>
      <c r="C2562" s="204" t="s">
        <v>24</v>
      </c>
      <c r="D2562" s="204" t="s">
        <v>1242</v>
      </c>
      <c r="E2562" s="204" t="s">
        <v>3209</v>
      </c>
      <c r="F2562" s="152" t="s">
        <v>2276</v>
      </c>
      <c r="G2562" s="152" t="s">
        <v>2276</v>
      </c>
      <c r="H2562" s="204" t="s">
        <v>524</v>
      </c>
      <c r="I2562" s="204"/>
      <c r="J2562" s="177">
        <v>0</v>
      </c>
      <c r="K2562" s="177">
        <v>0</v>
      </c>
      <c r="L2562" s="177">
        <v>0</v>
      </c>
      <c r="M2562" s="177">
        <v>0</v>
      </c>
      <c r="N2562" s="177">
        <v>0</v>
      </c>
      <c r="O2562" s="177">
        <v>0</v>
      </c>
      <c r="P2562" s="177">
        <v>0</v>
      </c>
      <c r="Q2562" s="177">
        <v>0</v>
      </c>
      <c r="R2562" s="177">
        <v>0</v>
      </c>
      <c r="S2562" s="177">
        <v>0</v>
      </c>
      <c r="T2562" s="177">
        <v>0</v>
      </c>
      <c r="U2562" s="177">
        <v>0</v>
      </c>
      <c r="V2562" s="177">
        <v>0</v>
      </c>
      <c r="W2562" s="177">
        <v>0</v>
      </c>
      <c r="X2562" s="177">
        <v>0</v>
      </c>
      <c r="Y2562" s="204" t="s">
        <v>2276</v>
      </c>
      <c r="Z2562" s="204" t="s">
        <v>2276</v>
      </c>
      <c r="AA2562" s="204" t="s">
        <v>2276</v>
      </c>
      <c r="AB2562" s="204" t="s">
        <v>2276</v>
      </c>
      <c r="AC2562" s="204"/>
      <c r="AD2562" s="204"/>
    </row>
    <row r="2563" spans="1:30" ht="35" customHeight="1">
      <c r="A2563" s="19" t="s">
        <v>7289</v>
      </c>
      <c r="B2563" s="19" t="s">
        <v>7304</v>
      </c>
      <c r="C2563" s="204" t="s">
        <v>24</v>
      </c>
      <c r="D2563" s="204" t="s">
        <v>1242</v>
      </c>
      <c r="E2563" s="204" t="s">
        <v>3209</v>
      </c>
      <c r="F2563" s="152" t="s">
        <v>2276</v>
      </c>
      <c r="G2563" s="152" t="s">
        <v>2276</v>
      </c>
      <c r="H2563" s="204" t="s">
        <v>523</v>
      </c>
      <c r="I2563" s="204">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f>3000*0.068</f>
        <v>204.00000000000003</v>
      </c>
      <c r="U2563" s="204" t="s">
        <v>2276</v>
      </c>
      <c r="V2563" s="204" t="s">
        <v>2276</v>
      </c>
      <c r="W2563" s="204" t="s">
        <v>2276</v>
      </c>
      <c r="X2563" s="21">
        <f>T2563/'Record info'!K$1115</f>
        <v>7.497794766245223E-3</v>
      </c>
      <c r="Y2563" s="204" t="s">
        <v>2276</v>
      </c>
      <c r="Z2563" s="204" t="s">
        <v>35</v>
      </c>
      <c r="AA2563" s="204" t="s">
        <v>38</v>
      </c>
      <c r="AB2563" s="204" t="s">
        <v>64</v>
      </c>
      <c r="AC2563" s="204" t="s">
        <v>7628</v>
      </c>
      <c r="AD2563" s="204"/>
    </row>
    <row r="2564" spans="1:30" ht="35" customHeight="1">
      <c r="A2564" s="19" t="s">
        <v>7290</v>
      </c>
      <c r="B2564" s="19" t="s">
        <v>7305</v>
      </c>
      <c r="C2564" s="204" t="s">
        <v>24</v>
      </c>
      <c r="D2564" s="204" t="s">
        <v>1242</v>
      </c>
      <c r="E2564" s="204" t="s">
        <v>3209</v>
      </c>
      <c r="F2564" s="152" t="s">
        <v>2276</v>
      </c>
      <c r="G2564" s="152" t="s">
        <v>2276</v>
      </c>
      <c r="H2564" s="204" t="s">
        <v>523</v>
      </c>
      <c r="I2564" s="204">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1">
        <f>3000*0.05</f>
        <v>150</v>
      </c>
      <c r="U2564" s="204" t="s">
        <v>2276</v>
      </c>
      <c r="V2564" s="204" t="s">
        <v>2276</v>
      </c>
      <c r="W2564" s="204" t="s">
        <v>2276</v>
      </c>
      <c r="X2564" s="21">
        <f>T2564/'Record info'!K$1116</f>
        <v>5.0157159098508661E-3</v>
      </c>
      <c r="Y2564" s="204" t="s">
        <v>2276</v>
      </c>
      <c r="Z2564" s="204" t="s">
        <v>35</v>
      </c>
      <c r="AA2564" s="204" t="s">
        <v>38</v>
      </c>
      <c r="AB2564" s="204" t="s">
        <v>64</v>
      </c>
      <c r="AC2564" s="204" t="s">
        <v>7628</v>
      </c>
      <c r="AD2564" s="204"/>
    </row>
    <row r="2565" spans="1:30" ht="35" customHeight="1">
      <c r="A2565" s="19" t="s">
        <v>7291</v>
      </c>
      <c r="B2565" s="19" t="s">
        <v>7306</v>
      </c>
      <c r="C2565" s="204" t="s">
        <v>24</v>
      </c>
      <c r="D2565" s="204" t="s">
        <v>1242</v>
      </c>
      <c r="E2565" s="204" t="s">
        <v>3209</v>
      </c>
      <c r="F2565" s="152" t="s">
        <v>2276</v>
      </c>
      <c r="G2565" s="152" t="s">
        <v>2276</v>
      </c>
      <c r="H2565" s="204" t="s">
        <v>523</v>
      </c>
      <c r="I2565" s="204">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1">
        <f>3000*0.493</f>
        <v>1479</v>
      </c>
      <c r="U2565" s="204" t="s">
        <v>2276</v>
      </c>
      <c r="V2565" s="204" t="s">
        <v>2276</v>
      </c>
      <c r="W2565" s="204" t="s">
        <v>2276</v>
      </c>
      <c r="X2565" s="21">
        <f>T2565/'Record info'!K$1117</f>
        <v>4.6490428441203283E-2</v>
      </c>
      <c r="Y2565" s="204" t="s">
        <v>2276</v>
      </c>
      <c r="Z2565" s="204" t="s">
        <v>35</v>
      </c>
      <c r="AA2565" s="204" t="s">
        <v>38</v>
      </c>
      <c r="AB2565" s="204" t="s">
        <v>64</v>
      </c>
      <c r="AC2565" s="204" t="s">
        <v>7628</v>
      </c>
      <c r="AD2565" s="204"/>
    </row>
    <row r="2566" spans="1:30" ht="35" customHeight="1">
      <c r="A2566" s="19" t="s">
        <v>7292</v>
      </c>
      <c r="B2566" s="19" t="s">
        <v>7307</v>
      </c>
      <c r="C2566" s="204" t="s">
        <v>24</v>
      </c>
      <c r="D2566" s="204" t="s">
        <v>1242</v>
      </c>
      <c r="E2566" s="204" t="s">
        <v>3209</v>
      </c>
      <c r="F2566" s="152" t="s">
        <v>2276</v>
      </c>
      <c r="G2566" s="152" t="s">
        <v>2276</v>
      </c>
      <c r="H2566" s="204" t="s">
        <v>523</v>
      </c>
      <c r="I2566" s="204">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1">
        <f>3000*0.375</f>
        <v>1125</v>
      </c>
      <c r="U2566" s="204" t="s">
        <v>2276</v>
      </c>
      <c r="V2566" s="204" t="s">
        <v>2276</v>
      </c>
      <c r="W2566" s="204" t="s">
        <v>2276</v>
      </c>
      <c r="X2566" s="21">
        <f>T2566/'Record info'!K$1118</f>
        <v>9.3656343656343663E-2</v>
      </c>
      <c r="Y2566" s="204" t="s">
        <v>2276</v>
      </c>
      <c r="Z2566" s="204" t="s">
        <v>35</v>
      </c>
      <c r="AA2566" s="204" t="s">
        <v>38</v>
      </c>
      <c r="AB2566" s="204" t="s">
        <v>64</v>
      </c>
      <c r="AC2566" s="204" t="s">
        <v>7628</v>
      </c>
      <c r="AD2566" s="204"/>
    </row>
    <row r="2567" spans="1:30" ht="35" customHeight="1">
      <c r="A2567" s="19" t="s">
        <v>7293</v>
      </c>
      <c r="B2567" s="19" t="s">
        <v>7308</v>
      </c>
      <c r="C2567" s="204" t="s">
        <v>24</v>
      </c>
      <c r="D2567" s="204" t="s">
        <v>1242</v>
      </c>
      <c r="E2567" s="204" t="s">
        <v>3209</v>
      </c>
      <c r="F2567" s="152" t="s">
        <v>2276</v>
      </c>
      <c r="G2567" s="152" t="s">
        <v>2276</v>
      </c>
      <c r="H2567" s="204" t="s">
        <v>523</v>
      </c>
      <c r="I2567" s="204">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1">
        <f>3000*0.058</f>
        <v>174</v>
      </c>
      <c r="U2567" s="204" t="s">
        <v>2276</v>
      </c>
      <c r="V2567" s="204" t="s">
        <v>2276</v>
      </c>
      <c r="W2567" s="204" t="s">
        <v>2276</v>
      </c>
      <c r="X2567" s="21">
        <f>T2567/'Record info'!K$1119</f>
        <v>3.0296171190778822E-3</v>
      </c>
      <c r="Y2567" s="204" t="s">
        <v>2276</v>
      </c>
      <c r="Z2567" s="204" t="s">
        <v>35</v>
      </c>
      <c r="AA2567" s="204" t="s">
        <v>38</v>
      </c>
      <c r="AB2567" s="204" t="s">
        <v>64</v>
      </c>
      <c r="AC2567" s="204" t="s">
        <v>7628</v>
      </c>
      <c r="AD2567" s="204"/>
    </row>
    <row r="2568" spans="1:30" ht="36.5" customHeight="1">
      <c r="A2568" s="19" t="s">
        <v>7289</v>
      </c>
      <c r="B2568" s="19" t="s">
        <v>7310</v>
      </c>
      <c r="C2568" s="204" t="s">
        <v>24</v>
      </c>
      <c r="D2568" s="204" t="s">
        <v>1242</v>
      </c>
      <c r="E2568" s="204" t="s">
        <v>3209</v>
      </c>
      <c r="F2568" s="152" t="s">
        <v>2276</v>
      </c>
      <c r="G2568" s="152" t="s">
        <v>2276</v>
      </c>
      <c r="H2568" s="204" t="s">
        <v>523</v>
      </c>
      <c r="I2568" s="204">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1">
        <f>5000*0.068</f>
        <v>340</v>
      </c>
      <c r="U2568" s="204" t="s">
        <v>2276</v>
      </c>
      <c r="V2568" s="204" t="s">
        <v>2276</v>
      </c>
      <c r="W2568" s="204" t="s">
        <v>2276</v>
      </c>
      <c r="X2568" s="21">
        <f>T2568/'Record info'!K$1115</f>
        <v>1.2496324610408704E-2</v>
      </c>
      <c r="Y2568" s="204" t="s">
        <v>2276</v>
      </c>
      <c r="Z2568" s="204" t="s">
        <v>35</v>
      </c>
      <c r="AA2568" s="204" t="s">
        <v>38</v>
      </c>
      <c r="AB2568" s="204" t="s">
        <v>64</v>
      </c>
      <c r="AC2568" s="204" t="s">
        <v>7628</v>
      </c>
      <c r="AD2568" s="204"/>
    </row>
    <row r="2569" spans="1:30" ht="36.5" customHeight="1">
      <c r="A2569" s="19" t="s">
        <v>7290</v>
      </c>
      <c r="B2569" s="19" t="s">
        <v>7311</v>
      </c>
      <c r="C2569" s="204" t="s">
        <v>24</v>
      </c>
      <c r="D2569" s="204" t="s">
        <v>1242</v>
      </c>
      <c r="E2569" s="204" t="s">
        <v>3209</v>
      </c>
      <c r="F2569" s="152" t="s">
        <v>2276</v>
      </c>
      <c r="G2569" s="152" t="s">
        <v>2276</v>
      </c>
      <c r="H2569" s="204" t="s">
        <v>523</v>
      </c>
      <c r="I2569" s="204">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1">
        <f>5000*0.05</f>
        <v>250</v>
      </c>
      <c r="U2569" s="204" t="s">
        <v>2276</v>
      </c>
      <c r="V2569" s="204" t="s">
        <v>2276</v>
      </c>
      <c r="W2569" s="204" t="s">
        <v>2276</v>
      </c>
      <c r="X2569" s="21">
        <f>T2569/'Record info'!K$1116</f>
        <v>8.3595265164181105E-3</v>
      </c>
      <c r="Y2569" s="204" t="s">
        <v>2276</v>
      </c>
      <c r="Z2569" s="204" t="s">
        <v>35</v>
      </c>
      <c r="AA2569" s="204" t="s">
        <v>38</v>
      </c>
      <c r="AB2569" s="204" t="s">
        <v>64</v>
      </c>
      <c r="AC2569" s="204" t="s">
        <v>7628</v>
      </c>
      <c r="AD2569" s="204"/>
    </row>
    <row r="2570" spans="1:30" ht="36.5" customHeight="1">
      <c r="A2570" s="19" t="s">
        <v>7291</v>
      </c>
      <c r="B2570" s="19" t="s">
        <v>7312</v>
      </c>
      <c r="C2570" s="204" t="s">
        <v>24</v>
      </c>
      <c r="D2570" s="204" t="s">
        <v>1242</v>
      </c>
      <c r="E2570" s="204" t="s">
        <v>3209</v>
      </c>
      <c r="F2570" s="152" t="s">
        <v>2276</v>
      </c>
      <c r="G2570" s="152" t="s">
        <v>2276</v>
      </c>
      <c r="H2570" s="204" t="s">
        <v>523</v>
      </c>
      <c r="I2570" s="204">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1">
        <f>5000*0.493</f>
        <v>2465</v>
      </c>
      <c r="U2570" s="204" t="s">
        <v>2276</v>
      </c>
      <c r="V2570" s="204" t="s">
        <v>2276</v>
      </c>
      <c r="W2570" s="204" t="s">
        <v>2276</v>
      </c>
      <c r="X2570" s="21">
        <f>T2570/'Record info'!K$1117</f>
        <v>7.7484047402005471E-2</v>
      </c>
      <c r="Y2570" s="204" t="s">
        <v>2276</v>
      </c>
      <c r="Z2570" s="204" t="s">
        <v>35</v>
      </c>
      <c r="AA2570" s="204" t="s">
        <v>38</v>
      </c>
      <c r="AB2570" s="204" t="s">
        <v>64</v>
      </c>
      <c r="AC2570" s="204" t="s">
        <v>7628</v>
      </c>
      <c r="AD2570" s="204"/>
    </row>
    <row r="2571" spans="1:30" ht="36.5" customHeight="1">
      <c r="A2571" s="19" t="s">
        <v>7292</v>
      </c>
      <c r="B2571" s="19" t="s">
        <v>7313</v>
      </c>
      <c r="C2571" s="204" t="s">
        <v>24</v>
      </c>
      <c r="D2571" s="204" t="s">
        <v>1242</v>
      </c>
      <c r="E2571" s="204" t="s">
        <v>3209</v>
      </c>
      <c r="F2571" s="152" t="s">
        <v>2276</v>
      </c>
      <c r="G2571" s="152" t="s">
        <v>2276</v>
      </c>
      <c r="H2571" s="204" t="s">
        <v>523</v>
      </c>
      <c r="I2571" s="204">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1">
        <f>5000*0.375</f>
        <v>1875</v>
      </c>
      <c r="U2571" s="204" t="s">
        <v>2276</v>
      </c>
      <c r="V2571" s="204" t="s">
        <v>2276</v>
      </c>
      <c r="W2571" s="204" t="s">
        <v>2276</v>
      </c>
      <c r="X2571" s="21">
        <f>T2571/'Record info'!K$1118</f>
        <v>0.15609390609390608</v>
      </c>
      <c r="Y2571" s="204" t="s">
        <v>2276</v>
      </c>
      <c r="Z2571" s="204" t="s">
        <v>35</v>
      </c>
      <c r="AA2571" s="204" t="s">
        <v>38</v>
      </c>
      <c r="AB2571" s="204" t="s">
        <v>64</v>
      </c>
      <c r="AC2571" s="204" t="s">
        <v>7628</v>
      </c>
      <c r="AD2571" s="204"/>
    </row>
    <row r="2572" spans="1:30" ht="36.5" customHeight="1">
      <c r="A2572" s="19" t="s">
        <v>7293</v>
      </c>
      <c r="B2572" s="19" t="s">
        <v>7314</v>
      </c>
      <c r="C2572" s="204" t="s">
        <v>24</v>
      </c>
      <c r="D2572" s="204" t="s">
        <v>1242</v>
      </c>
      <c r="E2572" s="204" t="s">
        <v>3209</v>
      </c>
      <c r="F2572" s="152" t="s">
        <v>2276</v>
      </c>
      <c r="G2572" s="152" t="s">
        <v>2276</v>
      </c>
      <c r="H2572" s="204" t="s">
        <v>523</v>
      </c>
      <c r="I2572" s="204">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1">
        <f>5000*0.058</f>
        <v>290</v>
      </c>
      <c r="U2572" s="204" t="s">
        <v>2276</v>
      </c>
      <c r="V2572" s="204" t="s">
        <v>2276</v>
      </c>
      <c r="W2572" s="204" t="s">
        <v>2276</v>
      </c>
      <c r="X2572" s="21">
        <f>T2572/'Record info'!K$1119</f>
        <v>5.0493618651298033E-3</v>
      </c>
      <c r="Y2572" s="204" t="s">
        <v>2276</v>
      </c>
      <c r="Z2572" s="204" t="s">
        <v>35</v>
      </c>
      <c r="AA2572" s="204" t="s">
        <v>38</v>
      </c>
      <c r="AB2572" s="204" t="s">
        <v>64</v>
      </c>
      <c r="AC2572" s="204" t="s">
        <v>7628</v>
      </c>
      <c r="AD2572" s="204"/>
    </row>
    <row r="2573" spans="1:30" ht="36.5" customHeight="1">
      <c r="A2573" s="19" t="s">
        <v>7289</v>
      </c>
      <c r="B2573" s="19" t="s">
        <v>7315</v>
      </c>
      <c r="C2573" s="204" t="s">
        <v>24</v>
      </c>
      <c r="D2573" s="204" t="s">
        <v>1242</v>
      </c>
      <c r="E2573" s="204" t="s">
        <v>3209</v>
      </c>
      <c r="F2573" s="152" t="s">
        <v>2276</v>
      </c>
      <c r="G2573" s="152" t="s">
        <v>2276</v>
      </c>
      <c r="H2573" s="204" t="s">
        <v>523</v>
      </c>
      <c r="I2573" s="11">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1">
        <f>4500*0.068</f>
        <v>306</v>
      </c>
      <c r="U2573" s="204" t="s">
        <v>2276</v>
      </c>
      <c r="V2573" s="204" t="s">
        <v>2276</v>
      </c>
      <c r="W2573" s="204" t="s">
        <v>2276</v>
      </c>
      <c r="X2573" s="21">
        <f>T2573/'Record info'!K$1115</f>
        <v>1.1246692149367833E-2</v>
      </c>
      <c r="Y2573" s="204" t="s">
        <v>2276</v>
      </c>
      <c r="Z2573" s="204" t="s">
        <v>35</v>
      </c>
      <c r="AA2573" s="204" t="s">
        <v>38</v>
      </c>
      <c r="AB2573" s="204" t="s">
        <v>64</v>
      </c>
      <c r="AC2573" s="204" t="s">
        <v>7628</v>
      </c>
      <c r="AD2573" s="204"/>
    </row>
    <row r="2574" spans="1:30" ht="36.5" customHeight="1">
      <c r="A2574" s="19" t="s">
        <v>7290</v>
      </c>
      <c r="B2574" s="19" t="s">
        <v>7316</v>
      </c>
      <c r="C2574" s="204" t="s">
        <v>24</v>
      </c>
      <c r="D2574" s="204" t="s">
        <v>1242</v>
      </c>
      <c r="E2574" s="204" t="s">
        <v>3209</v>
      </c>
      <c r="F2574" s="152" t="s">
        <v>2276</v>
      </c>
      <c r="G2574" s="152" t="s">
        <v>2276</v>
      </c>
      <c r="H2574" s="204" t="s">
        <v>523</v>
      </c>
      <c r="I2574" s="11">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1">
        <f>4500*0.05</f>
        <v>225</v>
      </c>
      <c r="U2574" s="204" t="s">
        <v>2276</v>
      </c>
      <c r="V2574" s="204" t="s">
        <v>2276</v>
      </c>
      <c r="W2574" s="204" t="s">
        <v>2276</v>
      </c>
      <c r="X2574" s="21">
        <f>T2574/'Record info'!K$1116</f>
        <v>7.5235738647762987E-3</v>
      </c>
      <c r="Y2574" s="204" t="s">
        <v>2276</v>
      </c>
      <c r="Z2574" s="204" t="s">
        <v>35</v>
      </c>
      <c r="AA2574" s="204" t="s">
        <v>38</v>
      </c>
      <c r="AB2574" s="204" t="s">
        <v>64</v>
      </c>
      <c r="AC2574" s="204" t="s">
        <v>7628</v>
      </c>
      <c r="AD2574" s="204"/>
    </row>
    <row r="2575" spans="1:30" ht="36.5" customHeight="1">
      <c r="A2575" s="19" t="s">
        <v>7291</v>
      </c>
      <c r="B2575" s="19" t="s">
        <v>7317</v>
      </c>
      <c r="C2575" s="204" t="s">
        <v>24</v>
      </c>
      <c r="D2575" s="204" t="s">
        <v>1242</v>
      </c>
      <c r="E2575" s="204" t="s">
        <v>3209</v>
      </c>
      <c r="F2575" s="152" t="s">
        <v>2276</v>
      </c>
      <c r="G2575" s="152" t="s">
        <v>2276</v>
      </c>
      <c r="H2575" s="204" t="s">
        <v>523</v>
      </c>
      <c r="I2575" s="11">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1">
        <f>4500*0.493</f>
        <v>2218.5</v>
      </c>
      <c r="U2575" s="204" t="s">
        <v>2276</v>
      </c>
      <c r="V2575" s="204" t="s">
        <v>2276</v>
      </c>
      <c r="W2575" s="204" t="s">
        <v>2276</v>
      </c>
      <c r="X2575" s="21">
        <f>T2575/'Record info'!K$1117</f>
        <v>6.9735642661804917E-2</v>
      </c>
      <c r="Y2575" s="204" t="s">
        <v>2276</v>
      </c>
      <c r="Z2575" s="204" t="s">
        <v>35</v>
      </c>
      <c r="AA2575" s="204" t="s">
        <v>38</v>
      </c>
      <c r="AB2575" s="204" t="s">
        <v>64</v>
      </c>
      <c r="AC2575" s="204" t="s">
        <v>7628</v>
      </c>
      <c r="AD2575" s="204"/>
    </row>
    <row r="2576" spans="1:30" ht="36.5" customHeight="1">
      <c r="A2576" s="19" t="s">
        <v>7292</v>
      </c>
      <c r="B2576" s="19" t="s">
        <v>7318</v>
      </c>
      <c r="C2576" s="204" t="s">
        <v>24</v>
      </c>
      <c r="D2576" s="204" t="s">
        <v>1242</v>
      </c>
      <c r="E2576" s="204" t="s">
        <v>3209</v>
      </c>
      <c r="F2576" s="152" t="s">
        <v>2276</v>
      </c>
      <c r="G2576" s="152" t="s">
        <v>2276</v>
      </c>
      <c r="H2576" s="204" t="s">
        <v>523</v>
      </c>
      <c r="I2576" s="11">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1">
        <f>4500*0.375</f>
        <v>1687.5</v>
      </c>
      <c r="U2576" s="204" t="s">
        <v>2276</v>
      </c>
      <c r="V2576" s="204" t="s">
        <v>2276</v>
      </c>
      <c r="W2576" s="204" t="s">
        <v>2276</v>
      </c>
      <c r="X2576" s="21">
        <f>T2576/'Record info'!K$1118</f>
        <v>0.14048451548451549</v>
      </c>
      <c r="Y2576" s="204" t="s">
        <v>2276</v>
      </c>
      <c r="Z2576" s="204" t="s">
        <v>35</v>
      </c>
      <c r="AA2576" s="204" t="s">
        <v>38</v>
      </c>
      <c r="AB2576" s="204" t="s">
        <v>64</v>
      </c>
      <c r="AC2576" s="204" t="s">
        <v>7628</v>
      </c>
      <c r="AD2576" s="204"/>
    </row>
    <row r="2577" spans="1:30" ht="36.5" customHeight="1">
      <c r="A2577" s="19" t="s">
        <v>7293</v>
      </c>
      <c r="B2577" s="19" t="s">
        <v>7319</v>
      </c>
      <c r="C2577" s="204" t="s">
        <v>24</v>
      </c>
      <c r="D2577" s="204" t="s">
        <v>1242</v>
      </c>
      <c r="E2577" s="204" t="s">
        <v>3209</v>
      </c>
      <c r="F2577" s="152" t="s">
        <v>2276</v>
      </c>
      <c r="G2577" s="152" t="s">
        <v>2276</v>
      </c>
      <c r="H2577" s="204" t="s">
        <v>523</v>
      </c>
      <c r="I2577" s="11">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1">
        <f>4500*0.058</f>
        <v>261</v>
      </c>
      <c r="U2577" s="204" t="s">
        <v>2276</v>
      </c>
      <c r="V2577" s="204" t="s">
        <v>2276</v>
      </c>
      <c r="W2577" s="204" t="s">
        <v>2276</v>
      </c>
      <c r="X2577" s="21">
        <f>T2577/'Record info'!K$1119</f>
        <v>4.5444256786168228E-3</v>
      </c>
      <c r="Y2577" s="204" t="s">
        <v>2276</v>
      </c>
      <c r="Z2577" s="204" t="s">
        <v>35</v>
      </c>
      <c r="AA2577" s="204" t="s">
        <v>38</v>
      </c>
      <c r="AB2577" s="204" t="s">
        <v>64</v>
      </c>
      <c r="AC2577" s="204" t="s">
        <v>7628</v>
      </c>
      <c r="AD2577" s="204"/>
    </row>
    <row r="2578" spans="1:30" ht="32.5" customHeight="1">
      <c r="A2578" s="19" t="s">
        <v>7289</v>
      </c>
      <c r="B2578" s="19" t="s">
        <v>7320</v>
      </c>
      <c r="C2578" s="204" t="s">
        <v>24</v>
      </c>
      <c r="D2578" s="204" t="s">
        <v>1242</v>
      </c>
      <c r="E2578" s="204" t="s">
        <v>3209</v>
      </c>
      <c r="F2578" s="152" t="s">
        <v>2276</v>
      </c>
      <c r="G2578" s="152" t="s">
        <v>2276</v>
      </c>
      <c r="H2578" s="204" t="s">
        <v>523</v>
      </c>
      <c r="I2578" s="11">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1">
        <f>3800*0.068</f>
        <v>258.40000000000003</v>
      </c>
      <c r="U2578" s="204" t="s">
        <v>2276</v>
      </c>
      <c r="V2578" s="204" t="s">
        <v>2276</v>
      </c>
      <c r="W2578" s="204" t="s">
        <v>2276</v>
      </c>
      <c r="X2578" s="21">
        <f>T2578/'Record info'!K$1115</f>
        <v>9.4972067039106149E-3</v>
      </c>
      <c r="Y2578" s="204" t="s">
        <v>2276</v>
      </c>
      <c r="Z2578" s="204" t="s">
        <v>35</v>
      </c>
      <c r="AA2578" s="204" t="s">
        <v>38</v>
      </c>
      <c r="AB2578" s="204" t="s">
        <v>64</v>
      </c>
      <c r="AC2578" s="204" t="s">
        <v>7628</v>
      </c>
      <c r="AD2578" s="204"/>
    </row>
    <row r="2579" spans="1:30" ht="32.5" customHeight="1">
      <c r="A2579" s="19" t="s">
        <v>7290</v>
      </c>
      <c r="B2579" s="19" t="s">
        <v>7321</v>
      </c>
      <c r="C2579" s="204" t="s">
        <v>24</v>
      </c>
      <c r="D2579" s="204" t="s">
        <v>1242</v>
      </c>
      <c r="E2579" s="204" t="s">
        <v>3209</v>
      </c>
      <c r="F2579" s="152" t="s">
        <v>2276</v>
      </c>
      <c r="G2579" s="152" t="s">
        <v>2276</v>
      </c>
      <c r="H2579" s="204" t="s">
        <v>523</v>
      </c>
      <c r="I2579" s="11">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1">
        <f>3800*0.05</f>
        <v>190</v>
      </c>
      <c r="U2579" s="204" t="s">
        <v>2276</v>
      </c>
      <c r="V2579" s="204" t="s">
        <v>2276</v>
      </c>
      <c r="W2579" s="204" t="s">
        <v>2276</v>
      </c>
      <c r="X2579" s="21">
        <f>T2579/'Record info'!K$1116</f>
        <v>6.3532401524777635E-3</v>
      </c>
      <c r="Y2579" s="204" t="s">
        <v>2276</v>
      </c>
      <c r="Z2579" s="204" t="s">
        <v>35</v>
      </c>
      <c r="AA2579" s="204" t="s">
        <v>38</v>
      </c>
      <c r="AB2579" s="204" t="s">
        <v>64</v>
      </c>
      <c r="AC2579" s="204" t="s">
        <v>7628</v>
      </c>
      <c r="AD2579" s="204"/>
    </row>
    <row r="2580" spans="1:30" ht="32.5" customHeight="1">
      <c r="A2580" s="19" t="s">
        <v>7291</v>
      </c>
      <c r="B2580" s="19" t="s">
        <v>7322</v>
      </c>
      <c r="C2580" s="204" t="s">
        <v>24</v>
      </c>
      <c r="D2580" s="204" t="s">
        <v>1242</v>
      </c>
      <c r="E2580" s="204" t="s">
        <v>3209</v>
      </c>
      <c r="F2580" s="152" t="s">
        <v>2276</v>
      </c>
      <c r="G2580" s="152" t="s">
        <v>2276</v>
      </c>
      <c r="H2580" s="204" t="s">
        <v>523</v>
      </c>
      <c r="I2580" s="11">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1">
        <f>3800*0.493</f>
        <v>1873.3999999999999</v>
      </c>
      <c r="U2580" s="204" t="s">
        <v>2276</v>
      </c>
      <c r="V2580" s="204" t="s">
        <v>2276</v>
      </c>
      <c r="W2580" s="204" t="s">
        <v>2276</v>
      </c>
      <c r="X2580" s="21">
        <f>T2580/'Record info'!K$1117</f>
        <v>5.8887876025524151E-2</v>
      </c>
      <c r="Y2580" s="204" t="s">
        <v>2276</v>
      </c>
      <c r="Z2580" s="204" t="s">
        <v>35</v>
      </c>
      <c r="AA2580" s="204" t="s">
        <v>38</v>
      </c>
      <c r="AB2580" s="204" t="s">
        <v>64</v>
      </c>
      <c r="AC2580" s="204" t="s">
        <v>7628</v>
      </c>
      <c r="AD2580" s="204"/>
    </row>
    <row r="2581" spans="1:30" ht="32.5" customHeight="1">
      <c r="A2581" s="19" t="s">
        <v>7292</v>
      </c>
      <c r="B2581" s="19" t="s">
        <v>7323</v>
      </c>
      <c r="C2581" s="204" t="s">
        <v>24</v>
      </c>
      <c r="D2581" s="204" t="s">
        <v>1242</v>
      </c>
      <c r="E2581" s="204" t="s">
        <v>3209</v>
      </c>
      <c r="F2581" s="152" t="s">
        <v>2276</v>
      </c>
      <c r="G2581" s="152" t="s">
        <v>2276</v>
      </c>
      <c r="H2581" s="204" t="s">
        <v>523</v>
      </c>
      <c r="I2581" s="11">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1">
        <f>3800*0.375</f>
        <v>1425</v>
      </c>
      <c r="U2581" s="204" t="s">
        <v>2276</v>
      </c>
      <c r="V2581" s="204" t="s">
        <v>2276</v>
      </c>
      <c r="W2581" s="204" t="s">
        <v>2276</v>
      </c>
      <c r="X2581" s="21">
        <f>T2581/'Record info'!K$1118</f>
        <v>0.11863136863136862</v>
      </c>
      <c r="Y2581" s="204" t="s">
        <v>2276</v>
      </c>
      <c r="Z2581" s="204" t="s">
        <v>35</v>
      </c>
      <c r="AA2581" s="204" t="s">
        <v>38</v>
      </c>
      <c r="AB2581" s="204" t="s">
        <v>64</v>
      </c>
      <c r="AC2581" s="204" t="s">
        <v>7628</v>
      </c>
      <c r="AD2581" s="204"/>
    </row>
    <row r="2582" spans="1:30" ht="32.5" customHeight="1">
      <c r="A2582" s="19" t="s">
        <v>7293</v>
      </c>
      <c r="B2582" s="19" t="s">
        <v>7324</v>
      </c>
      <c r="C2582" s="204" t="s">
        <v>24</v>
      </c>
      <c r="D2582" s="204" t="s">
        <v>1242</v>
      </c>
      <c r="E2582" s="204" t="s">
        <v>3209</v>
      </c>
      <c r="F2582" s="152" t="s">
        <v>2276</v>
      </c>
      <c r="G2582" s="152" t="s">
        <v>2276</v>
      </c>
      <c r="H2582" s="204" t="s">
        <v>523</v>
      </c>
      <c r="I2582" s="11">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1">
        <f>3800*0.058</f>
        <v>220.4</v>
      </c>
      <c r="U2582" s="204" t="s">
        <v>2276</v>
      </c>
      <c r="V2582" s="204" t="s">
        <v>2276</v>
      </c>
      <c r="W2582" s="204" t="s">
        <v>2276</v>
      </c>
      <c r="X2582" s="21">
        <f>T2582/'Record info'!K$1119</f>
        <v>3.8375150174986506E-3</v>
      </c>
      <c r="Y2582" s="204" t="s">
        <v>2276</v>
      </c>
      <c r="Z2582" s="204" t="s">
        <v>35</v>
      </c>
      <c r="AA2582" s="204" t="s">
        <v>38</v>
      </c>
      <c r="AB2582" s="204" t="s">
        <v>64</v>
      </c>
      <c r="AC2582" s="204" t="s">
        <v>7628</v>
      </c>
      <c r="AD2582" s="204"/>
    </row>
    <row r="2583" spans="1:30" ht="28" customHeight="1">
      <c r="A2583" s="19" t="s">
        <v>7289</v>
      </c>
      <c r="B2583" s="19" t="s">
        <v>7325</v>
      </c>
      <c r="C2583" s="204" t="s">
        <v>24</v>
      </c>
      <c r="D2583" s="204" t="s">
        <v>1242</v>
      </c>
      <c r="E2583" s="204" t="s">
        <v>3209</v>
      </c>
      <c r="F2583" s="152" t="s">
        <v>2276</v>
      </c>
      <c r="G2583" s="152" t="s">
        <v>2276</v>
      </c>
      <c r="H2583" s="204" t="s">
        <v>523</v>
      </c>
      <c r="I2583" s="11">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1">
        <f>2500*0.068</f>
        <v>170</v>
      </c>
      <c r="U2583" s="204" t="s">
        <v>2276</v>
      </c>
      <c r="V2583" s="204" t="s">
        <v>2276</v>
      </c>
      <c r="W2583" s="204" t="s">
        <v>2276</v>
      </c>
      <c r="X2583" s="21">
        <f>T2583/'Record info'!K$1115</f>
        <v>6.2481623052043521E-3</v>
      </c>
      <c r="Y2583" s="204" t="s">
        <v>2276</v>
      </c>
      <c r="Z2583" s="204" t="s">
        <v>35</v>
      </c>
      <c r="AA2583" s="204" t="s">
        <v>38</v>
      </c>
      <c r="AB2583" s="204" t="s">
        <v>64</v>
      </c>
      <c r="AC2583" s="204" t="s">
        <v>7628</v>
      </c>
      <c r="AD2583" s="204"/>
    </row>
    <row r="2584" spans="1:30" ht="28" customHeight="1">
      <c r="A2584" s="19" t="s">
        <v>7290</v>
      </c>
      <c r="B2584" s="19" t="s">
        <v>7326</v>
      </c>
      <c r="C2584" s="204" t="s">
        <v>24</v>
      </c>
      <c r="D2584" s="204" t="s">
        <v>1242</v>
      </c>
      <c r="E2584" s="204" t="s">
        <v>3209</v>
      </c>
      <c r="F2584" s="152" t="s">
        <v>2276</v>
      </c>
      <c r="G2584" s="152" t="s">
        <v>2276</v>
      </c>
      <c r="H2584" s="204" t="s">
        <v>523</v>
      </c>
      <c r="I2584" s="11">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1">
        <f>2500*0.05</f>
        <v>125</v>
      </c>
      <c r="U2584" s="204" t="s">
        <v>2276</v>
      </c>
      <c r="V2584" s="204" t="s">
        <v>2276</v>
      </c>
      <c r="W2584" s="204" t="s">
        <v>2276</v>
      </c>
      <c r="X2584" s="21">
        <f>T2584/'Record info'!K$1116</f>
        <v>4.1797632582090552E-3</v>
      </c>
      <c r="Y2584" s="204" t="s">
        <v>2276</v>
      </c>
      <c r="Z2584" s="204" t="s">
        <v>35</v>
      </c>
      <c r="AA2584" s="204" t="s">
        <v>38</v>
      </c>
      <c r="AB2584" s="204" t="s">
        <v>64</v>
      </c>
      <c r="AC2584" s="204" t="s">
        <v>7628</v>
      </c>
      <c r="AD2584" s="204"/>
    </row>
    <row r="2585" spans="1:30" ht="28" customHeight="1">
      <c r="A2585" s="19" t="s">
        <v>7291</v>
      </c>
      <c r="B2585" s="19" t="s">
        <v>7327</v>
      </c>
      <c r="C2585" s="204" t="s">
        <v>24</v>
      </c>
      <c r="D2585" s="204" t="s">
        <v>1242</v>
      </c>
      <c r="E2585" s="204" t="s">
        <v>3209</v>
      </c>
      <c r="F2585" s="152" t="s">
        <v>2276</v>
      </c>
      <c r="G2585" s="152" t="s">
        <v>2276</v>
      </c>
      <c r="H2585" s="204" t="s">
        <v>523</v>
      </c>
      <c r="I2585" s="11">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1">
        <f>2500*0.493</f>
        <v>1232.5</v>
      </c>
      <c r="U2585" s="204" t="s">
        <v>2276</v>
      </c>
      <c r="V2585" s="204" t="s">
        <v>2276</v>
      </c>
      <c r="W2585" s="204" t="s">
        <v>2276</v>
      </c>
      <c r="X2585" s="21">
        <f>T2585/'Record info'!K$1117</f>
        <v>3.8742023701002735E-2</v>
      </c>
      <c r="Y2585" s="204" t="s">
        <v>2276</v>
      </c>
      <c r="Z2585" s="204" t="s">
        <v>35</v>
      </c>
      <c r="AA2585" s="204" t="s">
        <v>38</v>
      </c>
      <c r="AB2585" s="204" t="s">
        <v>64</v>
      </c>
      <c r="AC2585" s="204" t="s">
        <v>7628</v>
      </c>
      <c r="AD2585" s="204"/>
    </row>
    <row r="2586" spans="1:30" ht="28" customHeight="1">
      <c r="A2586" s="19" t="s">
        <v>7292</v>
      </c>
      <c r="B2586" s="19" t="s">
        <v>7328</v>
      </c>
      <c r="C2586" s="204" t="s">
        <v>24</v>
      </c>
      <c r="D2586" s="204" t="s">
        <v>1242</v>
      </c>
      <c r="E2586" s="204" t="s">
        <v>3209</v>
      </c>
      <c r="F2586" s="152" t="s">
        <v>2276</v>
      </c>
      <c r="G2586" s="152" t="s">
        <v>2276</v>
      </c>
      <c r="H2586" s="204" t="s">
        <v>523</v>
      </c>
      <c r="I2586" s="11">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1">
        <f>2500*0.375</f>
        <v>937.5</v>
      </c>
      <c r="U2586" s="204" t="s">
        <v>2276</v>
      </c>
      <c r="V2586" s="204" t="s">
        <v>2276</v>
      </c>
      <c r="W2586" s="204" t="s">
        <v>2276</v>
      </c>
      <c r="X2586" s="21">
        <f>T2586/'Record info'!K$1118</f>
        <v>7.8046953046953041E-2</v>
      </c>
      <c r="Y2586" s="204" t="s">
        <v>2276</v>
      </c>
      <c r="Z2586" s="204" t="s">
        <v>35</v>
      </c>
      <c r="AA2586" s="204" t="s">
        <v>38</v>
      </c>
      <c r="AB2586" s="204" t="s">
        <v>64</v>
      </c>
      <c r="AC2586" s="204" t="s">
        <v>7628</v>
      </c>
      <c r="AD2586" s="204"/>
    </row>
    <row r="2587" spans="1:30" ht="28" customHeight="1">
      <c r="A2587" s="19" t="s">
        <v>7293</v>
      </c>
      <c r="B2587" s="19" t="s">
        <v>7329</v>
      </c>
      <c r="C2587" s="204" t="s">
        <v>24</v>
      </c>
      <c r="D2587" s="204" t="s">
        <v>1242</v>
      </c>
      <c r="E2587" s="204" t="s">
        <v>3209</v>
      </c>
      <c r="F2587" s="152" t="s">
        <v>2276</v>
      </c>
      <c r="G2587" s="152" t="s">
        <v>2276</v>
      </c>
      <c r="H2587" s="204" t="s">
        <v>523</v>
      </c>
      <c r="I2587" s="11">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1">
        <f>2500*0.058</f>
        <v>145</v>
      </c>
      <c r="U2587" s="204" t="s">
        <v>2276</v>
      </c>
      <c r="V2587" s="204" t="s">
        <v>2276</v>
      </c>
      <c r="W2587" s="204" t="s">
        <v>2276</v>
      </c>
      <c r="X2587" s="21">
        <f>T2587/'Record info'!K$1119</f>
        <v>2.5246809325649017E-3</v>
      </c>
      <c r="Y2587" s="204" t="s">
        <v>2276</v>
      </c>
      <c r="Z2587" s="204" t="s">
        <v>35</v>
      </c>
      <c r="AA2587" s="204" t="s">
        <v>38</v>
      </c>
      <c r="AB2587" s="204" t="s">
        <v>64</v>
      </c>
      <c r="AC2587" s="204" t="s">
        <v>7628</v>
      </c>
      <c r="AD2587" s="204"/>
    </row>
    <row r="2588" spans="1:30" ht="26.5" customHeight="1">
      <c r="A2588" s="19" t="s">
        <v>7289</v>
      </c>
      <c r="B2588" s="19" t="s">
        <v>7330</v>
      </c>
      <c r="C2588" s="204" t="s">
        <v>24</v>
      </c>
      <c r="D2588" s="204" t="s">
        <v>1242</v>
      </c>
      <c r="E2588" s="204" t="s">
        <v>3209</v>
      </c>
      <c r="F2588" s="152" t="s">
        <v>2276</v>
      </c>
      <c r="G2588" s="152" t="s">
        <v>2276</v>
      </c>
      <c r="H2588" s="204" t="s">
        <v>523</v>
      </c>
      <c r="I2588" s="11">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1">
        <f>2250*0.068</f>
        <v>153</v>
      </c>
      <c r="U2588" s="204" t="s">
        <v>2276</v>
      </c>
      <c r="V2588" s="204" t="s">
        <v>2276</v>
      </c>
      <c r="W2588" s="204" t="s">
        <v>2276</v>
      </c>
      <c r="X2588" s="21">
        <f>T2588/'Record info'!K$1115</f>
        <v>5.6233460746839166E-3</v>
      </c>
      <c r="Y2588" s="204" t="s">
        <v>2276</v>
      </c>
      <c r="Z2588" s="204" t="s">
        <v>35</v>
      </c>
      <c r="AA2588" s="204" t="s">
        <v>38</v>
      </c>
      <c r="AB2588" s="204" t="s">
        <v>64</v>
      </c>
      <c r="AC2588" s="204" t="s">
        <v>7628</v>
      </c>
      <c r="AD2588" s="204"/>
    </row>
    <row r="2589" spans="1:30" ht="26.5" customHeight="1">
      <c r="A2589" s="19" t="s">
        <v>7290</v>
      </c>
      <c r="B2589" s="19" t="s">
        <v>7331</v>
      </c>
      <c r="C2589" s="204" t="s">
        <v>24</v>
      </c>
      <c r="D2589" s="204" t="s">
        <v>1242</v>
      </c>
      <c r="E2589" s="204" t="s">
        <v>3209</v>
      </c>
      <c r="F2589" s="152" t="s">
        <v>2276</v>
      </c>
      <c r="G2589" s="152" t="s">
        <v>2276</v>
      </c>
      <c r="H2589" s="204" t="s">
        <v>523</v>
      </c>
      <c r="I2589" s="11">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1">
        <f>2250*0.05</f>
        <v>112.5</v>
      </c>
      <c r="U2589" s="204" t="s">
        <v>2276</v>
      </c>
      <c r="V2589" s="204" t="s">
        <v>2276</v>
      </c>
      <c r="W2589" s="204" t="s">
        <v>2276</v>
      </c>
      <c r="X2589" s="21">
        <f>T2589/'Record info'!K$1116</f>
        <v>3.7617869323881494E-3</v>
      </c>
      <c r="Y2589" s="204" t="s">
        <v>2276</v>
      </c>
      <c r="Z2589" s="204" t="s">
        <v>35</v>
      </c>
      <c r="AA2589" s="204" t="s">
        <v>38</v>
      </c>
      <c r="AB2589" s="204" t="s">
        <v>64</v>
      </c>
      <c r="AC2589" s="204" t="s">
        <v>7628</v>
      </c>
      <c r="AD2589" s="204"/>
    </row>
    <row r="2590" spans="1:30" ht="26.5" customHeight="1">
      <c r="A2590" s="19" t="s">
        <v>7291</v>
      </c>
      <c r="B2590" s="19" t="s">
        <v>7332</v>
      </c>
      <c r="C2590" s="204" t="s">
        <v>24</v>
      </c>
      <c r="D2590" s="204" t="s">
        <v>1242</v>
      </c>
      <c r="E2590" s="204" t="s">
        <v>3209</v>
      </c>
      <c r="F2590" s="152" t="s">
        <v>2276</v>
      </c>
      <c r="G2590" s="152" t="s">
        <v>2276</v>
      </c>
      <c r="H2590" s="204" t="s">
        <v>523</v>
      </c>
      <c r="I2590" s="11">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1">
        <f>2250*0.493</f>
        <v>1109.25</v>
      </c>
      <c r="U2590" s="204" t="s">
        <v>2276</v>
      </c>
      <c r="V2590" s="204" t="s">
        <v>2276</v>
      </c>
      <c r="W2590" s="204" t="s">
        <v>2276</v>
      </c>
      <c r="X2590" s="21">
        <f>T2590/'Record info'!K$1117</f>
        <v>3.4867821330902458E-2</v>
      </c>
      <c r="Y2590" s="204" t="s">
        <v>2276</v>
      </c>
      <c r="Z2590" s="204" t="s">
        <v>35</v>
      </c>
      <c r="AA2590" s="204" t="s">
        <v>38</v>
      </c>
      <c r="AB2590" s="204" t="s">
        <v>64</v>
      </c>
      <c r="AC2590" s="204" t="s">
        <v>7628</v>
      </c>
      <c r="AD2590" s="204"/>
    </row>
    <row r="2591" spans="1:30" ht="26.5" customHeight="1">
      <c r="A2591" s="19" t="s">
        <v>7292</v>
      </c>
      <c r="B2591" s="19" t="s">
        <v>7333</v>
      </c>
      <c r="C2591" s="204" t="s">
        <v>24</v>
      </c>
      <c r="D2591" s="204" t="s">
        <v>1242</v>
      </c>
      <c r="E2591" s="204" t="s">
        <v>3209</v>
      </c>
      <c r="F2591" s="152" t="s">
        <v>2276</v>
      </c>
      <c r="G2591" s="152" t="s">
        <v>2276</v>
      </c>
      <c r="H2591" s="204" t="s">
        <v>523</v>
      </c>
      <c r="I2591" s="11">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1">
        <f>2250*0.375</f>
        <v>843.75</v>
      </c>
      <c r="U2591" s="204" t="s">
        <v>2276</v>
      </c>
      <c r="V2591" s="204" t="s">
        <v>2276</v>
      </c>
      <c r="W2591" s="204" t="s">
        <v>2276</v>
      </c>
      <c r="X2591" s="21">
        <f>T2591/'Record info'!K$1118</f>
        <v>7.0242257742257744E-2</v>
      </c>
      <c r="Y2591" s="204" t="s">
        <v>2276</v>
      </c>
      <c r="Z2591" s="204" t="s">
        <v>35</v>
      </c>
      <c r="AA2591" s="204" t="s">
        <v>38</v>
      </c>
      <c r="AB2591" s="204" t="s">
        <v>64</v>
      </c>
      <c r="AC2591" s="204" t="s">
        <v>7628</v>
      </c>
      <c r="AD2591" s="204"/>
    </row>
    <row r="2592" spans="1:30" ht="26.5" customHeight="1">
      <c r="A2592" s="19" t="s">
        <v>7293</v>
      </c>
      <c r="B2592" s="19" t="s">
        <v>7334</v>
      </c>
      <c r="C2592" s="204" t="s">
        <v>24</v>
      </c>
      <c r="D2592" s="204" t="s">
        <v>1242</v>
      </c>
      <c r="E2592" s="204" t="s">
        <v>3209</v>
      </c>
      <c r="F2592" s="152" t="s">
        <v>2276</v>
      </c>
      <c r="G2592" s="152" t="s">
        <v>2276</v>
      </c>
      <c r="H2592" s="204" t="s">
        <v>523</v>
      </c>
      <c r="I2592" s="11">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1">
        <f>2250*0.058</f>
        <v>130.5</v>
      </c>
      <c r="U2592" s="204" t="s">
        <v>2276</v>
      </c>
      <c r="V2592" s="204" t="s">
        <v>2276</v>
      </c>
      <c r="W2592" s="204" t="s">
        <v>2276</v>
      </c>
      <c r="X2592" s="21">
        <f>T2592/'Record info'!K$1119</f>
        <v>2.2722128393084114E-3</v>
      </c>
      <c r="Y2592" s="204" t="s">
        <v>2276</v>
      </c>
      <c r="Z2592" s="204" t="s">
        <v>35</v>
      </c>
      <c r="AA2592" s="204" t="s">
        <v>38</v>
      </c>
      <c r="AB2592" s="204" t="s">
        <v>64</v>
      </c>
      <c r="AC2592" s="204" t="s">
        <v>7628</v>
      </c>
      <c r="AD2592" s="204"/>
    </row>
    <row r="2593" spans="1:30" ht="24.5" customHeight="1">
      <c r="A2593" s="19" t="s">
        <v>7289</v>
      </c>
      <c r="B2593" s="19" t="s">
        <v>7335</v>
      </c>
      <c r="C2593" s="204" t="s">
        <v>24</v>
      </c>
      <c r="D2593" s="204" t="s">
        <v>1242</v>
      </c>
      <c r="E2593" s="204" t="s">
        <v>3209</v>
      </c>
      <c r="F2593" s="152" t="s">
        <v>2276</v>
      </c>
      <c r="G2593" s="152" t="s">
        <v>2276</v>
      </c>
      <c r="H2593" s="204" t="s">
        <v>523</v>
      </c>
      <c r="I2593" s="11">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1">
        <f>4500*0.068</f>
        <v>306</v>
      </c>
      <c r="U2593" s="204" t="s">
        <v>2276</v>
      </c>
      <c r="V2593" s="204" t="s">
        <v>2276</v>
      </c>
      <c r="W2593" s="204" t="s">
        <v>2276</v>
      </c>
      <c r="X2593" s="21">
        <f>T2593/'Record info'!K$1115</f>
        <v>1.1246692149367833E-2</v>
      </c>
      <c r="Y2593" s="204" t="s">
        <v>2276</v>
      </c>
      <c r="Z2593" s="204" t="s">
        <v>35</v>
      </c>
      <c r="AA2593" s="204" t="s">
        <v>38</v>
      </c>
      <c r="AB2593" s="204" t="s">
        <v>64</v>
      </c>
      <c r="AC2593" s="204" t="s">
        <v>7628</v>
      </c>
      <c r="AD2593" s="204"/>
    </row>
    <row r="2594" spans="1:30" ht="24.5" customHeight="1">
      <c r="A2594" s="19" t="s">
        <v>7290</v>
      </c>
      <c r="B2594" s="19" t="s">
        <v>7336</v>
      </c>
      <c r="C2594" s="204" t="s">
        <v>24</v>
      </c>
      <c r="D2594" s="204" t="s">
        <v>1242</v>
      </c>
      <c r="E2594" s="204" t="s">
        <v>3209</v>
      </c>
      <c r="F2594" s="152" t="s">
        <v>2276</v>
      </c>
      <c r="G2594" s="152" t="s">
        <v>2276</v>
      </c>
      <c r="H2594" s="204" t="s">
        <v>523</v>
      </c>
      <c r="I2594" s="11">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1">
        <f>4500*0.05</f>
        <v>225</v>
      </c>
      <c r="U2594" s="204" t="s">
        <v>2276</v>
      </c>
      <c r="V2594" s="204" t="s">
        <v>2276</v>
      </c>
      <c r="W2594" s="204" t="s">
        <v>2276</v>
      </c>
      <c r="X2594" s="21">
        <f>T2594/'Record info'!K$1116</f>
        <v>7.5235738647762987E-3</v>
      </c>
      <c r="Y2594" s="204" t="s">
        <v>2276</v>
      </c>
      <c r="Z2594" s="204" t="s">
        <v>35</v>
      </c>
      <c r="AA2594" s="204" t="s">
        <v>38</v>
      </c>
      <c r="AB2594" s="204" t="s">
        <v>64</v>
      </c>
      <c r="AC2594" s="204" t="s">
        <v>7628</v>
      </c>
      <c r="AD2594" s="204"/>
    </row>
    <row r="2595" spans="1:30" ht="24.5" customHeight="1">
      <c r="A2595" s="19" t="s">
        <v>7291</v>
      </c>
      <c r="B2595" s="19" t="s">
        <v>7337</v>
      </c>
      <c r="C2595" s="204" t="s">
        <v>24</v>
      </c>
      <c r="D2595" s="204" t="s">
        <v>1242</v>
      </c>
      <c r="E2595" s="204" t="s">
        <v>3209</v>
      </c>
      <c r="F2595" s="152" t="s">
        <v>2276</v>
      </c>
      <c r="G2595" s="152" t="s">
        <v>2276</v>
      </c>
      <c r="H2595" s="204" t="s">
        <v>523</v>
      </c>
      <c r="I2595" s="11">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1">
        <f>4500*0.493</f>
        <v>2218.5</v>
      </c>
      <c r="U2595" s="204" t="s">
        <v>2276</v>
      </c>
      <c r="V2595" s="204" t="s">
        <v>2276</v>
      </c>
      <c r="W2595" s="204" t="s">
        <v>2276</v>
      </c>
      <c r="X2595" s="21">
        <f>T2595/'Record info'!K$1117</f>
        <v>6.9735642661804917E-2</v>
      </c>
      <c r="Y2595" s="204" t="s">
        <v>2276</v>
      </c>
      <c r="Z2595" s="204" t="s">
        <v>35</v>
      </c>
      <c r="AA2595" s="204" t="s">
        <v>38</v>
      </c>
      <c r="AB2595" s="204" t="s">
        <v>64</v>
      </c>
      <c r="AC2595" s="204" t="s">
        <v>7628</v>
      </c>
      <c r="AD2595" s="204"/>
    </row>
    <row r="2596" spans="1:30" ht="24.5" customHeight="1">
      <c r="A2596" s="19" t="s">
        <v>7292</v>
      </c>
      <c r="B2596" s="19" t="s">
        <v>7338</v>
      </c>
      <c r="C2596" s="204" t="s">
        <v>24</v>
      </c>
      <c r="D2596" s="204" t="s">
        <v>1242</v>
      </c>
      <c r="E2596" s="204" t="s">
        <v>3209</v>
      </c>
      <c r="F2596" s="152" t="s">
        <v>2276</v>
      </c>
      <c r="G2596" s="152" t="s">
        <v>2276</v>
      </c>
      <c r="H2596" s="204" t="s">
        <v>523</v>
      </c>
      <c r="I2596" s="11">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1">
        <f>4500*0.375</f>
        <v>1687.5</v>
      </c>
      <c r="U2596" s="204" t="s">
        <v>2276</v>
      </c>
      <c r="V2596" s="204" t="s">
        <v>2276</v>
      </c>
      <c r="W2596" s="204" t="s">
        <v>2276</v>
      </c>
      <c r="X2596" s="21">
        <f>T2596/'Record info'!K$1118</f>
        <v>0.14048451548451549</v>
      </c>
      <c r="Y2596" s="204" t="s">
        <v>2276</v>
      </c>
      <c r="Z2596" s="204" t="s">
        <v>35</v>
      </c>
      <c r="AA2596" s="204" t="s">
        <v>38</v>
      </c>
      <c r="AB2596" s="204" t="s">
        <v>64</v>
      </c>
      <c r="AC2596" s="204" t="s">
        <v>7628</v>
      </c>
      <c r="AD2596" s="204"/>
    </row>
    <row r="2597" spans="1:30" ht="30" customHeight="1">
      <c r="A2597" s="19" t="s">
        <v>7293</v>
      </c>
      <c r="B2597" s="19" t="s">
        <v>7339</v>
      </c>
      <c r="C2597" s="204" t="s">
        <v>24</v>
      </c>
      <c r="D2597" s="204" t="s">
        <v>1242</v>
      </c>
      <c r="E2597" s="204" t="s">
        <v>3209</v>
      </c>
      <c r="F2597" s="152" t="s">
        <v>2276</v>
      </c>
      <c r="G2597" s="152" t="s">
        <v>2276</v>
      </c>
      <c r="H2597" s="204" t="s">
        <v>523</v>
      </c>
      <c r="I2597" s="11">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1">
        <f>4500*0.058</f>
        <v>261</v>
      </c>
      <c r="U2597" s="204" t="s">
        <v>2276</v>
      </c>
      <c r="V2597" s="204" t="s">
        <v>2276</v>
      </c>
      <c r="W2597" s="204" t="s">
        <v>2276</v>
      </c>
      <c r="X2597" s="21">
        <f>T2597/'Record info'!K$1119</f>
        <v>4.5444256786168228E-3</v>
      </c>
      <c r="Y2597" s="204" t="s">
        <v>2276</v>
      </c>
      <c r="Z2597" s="204" t="s">
        <v>35</v>
      </c>
      <c r="AA2597" s="204" t="s">
        <v>38</v>
      </c>
      <c r="AB2597" s="204" t="s">
        <v>64</v>
      </c>
      <c r="AC2597" s="204" t="s">
        <v>7628</v>
      </c>
      <c r="AD2597" s="204"/>
    </row>
    <row r="2598" spans="1:30" ht="30" customHeight="1">
      <c r="A2598" s="19" t="s">
        <v>7289</v>
      </c>
      <c r="B2598" s="19" t="s">
        <v>7340</v>
      </c>
      <c r="C2598" s="204" t="s">
        <v>24</v>
      </c>
      <c r="D2598" s="204" t="s">
        <v>1242</v>
      </c>
      <c r="E2598" s="204" t="s">
        <v>3209</v>
      </c>
      <c r="F2598" s="152" t="s">
        <v>2276</v>
      </c>
      <c r="G2598" s="152" t="s">
        <v>2276</v>
      </c>
      <c r="H2598" s="204" t="s">
        <v>523</v>
      </c>
      <c r="I2598" s="11">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1">
        <f>4000*0.068</f>
        <v>272</v>
      </c>
      <c r="U2598" s="204" t="s">
        <v>2276</v>
      </c>
      <c r="V2598" s="204" t="s">
        <v>2276</v>
      </c>
      <c r="W2598" s="204" t="s">
        <v>2276</v>
      </c>
      <c r="X2598" s="21">
        <f>T2598/'Record info'!K$1115</f>
        <v>9.9970596883269622E-3</v>
      </c>
      <c r="Y2598" s="204" t="s">
        <v>2276</v>
      </c>
      <c r="Z2598" s="204" t="s">
        <v>35</v>
      </c>
      <c r="AA2598" s="204" t="s">
        <v>38</v>
      </c>
      <c r="AB2598" s="204" t="s">
        <v>64</v>
      </c>
      <c r="AC2598" s="204" t="s">
        <v>7628</v>
      </c>
      <c r="AD2598" s="204"/>
    </row>
    <row r="2599" spans="1:30" ht="30" customHeight="1">
      <c r="A2599" s="19" t="s">
        <v>7290</v>
      </c>
      <c r="B2599" s="19" t="s">
        <v>7341</v>
      </c>
      <c r="C2599" s="204" t="s">
        <v>24</v>
      </c>
      <c r="D2599" s="204" t="s">
        <v>1242</v>
      </c>
      <c r="E2599" s="204" t="s">
        <v>3209</v>
      </c>
      <c r="F2599" s="152" t="s">
        <v>2276</v>
      </c>
      <c r="G2599" s="152" t="s">
        <v>2276</v>
      </c>
      <c r="H2599" s="204" t="s">
        <v>523</v>
      </c>
      <c r="I2599" s="11">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1">
        <f>4000*0.05</f>
        <v>200</v>
      </c>
      <c r="U2599" s="204" t="s">
        <v>2276</v>
      </c>
      <c r="V2599" s="204" t="s">
        <v>2276</v>
      </c>
      <c r="W2599" s="204" t="s">
        <v>2276</v>
      </c>
      <c r="X2599" s="21">
        <f>T2599/'Record info'!K$1116</f>
        <v>6.6876212131344879E-3</v>
      </c>
      <c r="Y2599" s="204" t="s">
        <v>2276</v>
      </c>
      <c r="Z2599" s="204" t="s">
        <v>35</v>
      </c>
      <c r="AA2599" s="204" t="s">
        <v>38</v>
      </c>
      <c r="AB2599" s="204" t="s">
        <v>64</v>
      </c>
      <c r="AC2599" s="204" t="s">
        <v>7628</v>
      </c>
      <c r="AD2599" s="204"/>
    </row>
    <row r="2600" spans="1:30" ht="30" customHeight="1">
      <c r="A2600" s="19" t="s">
        <v>7291</v>
      </c>
      <c r="B2600" s="19" t="s">
        <v>7342</v>
      </c>
      <c r="C2600" s="204" t="s">
        <v>24</v>
      </c>
      <c r="D2600" s="204" t="s">
        <v>1242</v>
      </c>
      <c r="E2600" s="204" t="s">
        <v>3209</v>
      </c>
      <c r="F2600" s="152" t="s">
        <v>2276</v>
      </c>
      <c r="G2600" s="152" t="s">
        <v>2276</v>
      </c>
      <c r="H2600" s="204" t="s">
        <v>523</v>
      </c>
      <c r="I2600" s="11">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1">
        <f>4000*0.493</f>
        <v>1972</v>
      </c>
      <c r="U2600" s="204" t="s">
        <v>2276</v>
      </c>
      <c r="V2600" s="204" t="s">
        <v>2276</v>
      </c>
      <c r="W2600" s="204" t="s">
        <v>2276</v>
      </c>
      <c r="X2600" s="21">
        <f>T2600/'Record info'!K$1117</f>
        <v>6.1987237921604377E-2</v>
      </c>
      <c r="Y2600" s="204" t="s">
        <v>2276</v>
      </c>
      <c r="Z2600" s="204" t="s">
        <v>35</v>
      </c>
      <c r="AA2600" s="204" t="s">
        <v>38</v>
      </c>
      <c r="AB2600" s="204" t="s">
        <v>64</v>
      </c>
      <c r="AC2600" s="204" t="s">
        <v>7628</v>
      </c>
      <c r="AD2600" s="204"/>
    </row>
    <row r="2601" spans="1:30" ht="30" customHeight="1">
      <c r="A2601" s="19" t="s">
        <v>7292</v>
      </c>
      <c r="B2601" s="19" t="s">
        <v>7343</v>
      </c>
      <c r="C2601" s="204" t="s">
        <v>24</v>
      </c>
      <c r="D2601" s="204" t="s">
        <v>1242</v>
      </c>
      <c r="E2601" s="204" t="s">
        <v>3209</v>
      </c>
      <c r="F2601" s="152" t="s">
        <v>2276</v>
      </c>
      <c r="G2601" s="152" t="s">
        <v>2276</v>
      </c>
      <c r="H2601" s="204" t="s">
        <v>523</v>
      </c>
      <c r="I2601" s="11">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1">
        <f>4000*0.375</f>
        <v>1500</v>
      </c>
      <c r="U2601" s="204" t="s">
        <v>2276</v>
      </c>
      <c r="V2601" s="204" t="s">
        <v>2276</v>
      </c>
      <c r="W2601" s="204" t="s">
        <v>2276</v>
      </c>
      <c r="X2601" s="21">
        <f>T2601/'Record info'!K$1118</f>
        <v>0.12487512487512488</v>
      </c>
      <c r="Y2601" s="204" t="s">
        <v>2276</v>
      </c>
      <c r="Z2601" s="204" t="s">
        <v>35</v>
      </c>
      <c r="AA2601" s="204" t="s">
        <v>38</v>
      </c>
      <c r="AB2601" s="204" t="s">
        <v>64</v>
      </c>
      <c r="AC2601" s="204" t="s">
        <v>7628</v>
      </c>
      <c r="AD2601" s="204"/>
    </row>
    <row r="2602" spans="1:30" ht="30" customHeight="1">
      <c r="A2602" s="19" t="s">
        <v>7293</v>
      </c>
      <c r="B2602" s="19" t="s">
        <v>7344</v>
      </c>
      <c r="C2602" s="204" t="s">
        <v>24</v>
      </c>
      <c r="D2602" s="204" t="s">
        <v>1242</v>
      </c>
      <c r="E2602" s="204" t="s">
        <v>3209</v>
      </c>
      <c r="F2602" s="152" t="s">
        <v>2276</v>
      </c>
      <c r="G2602" s="152" t="s">
        <v>2276</v>
      </c>
      <c r="H2602" s="204" t="s">
        <v>523</v>
      </c>
      <c r="I2602" s="11">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1">
        <f>4000*0.058</f>
        <v>232</v>
      </c>
      <c r="U2602" s="204" t="s">
        <v>2276</v>
      </c>
      <c r="V2602" s="204" t="s">
        <v>2276</v>
      </c>
      <c r="W2602" s="204" t="s">
        <v>2276</v>
      </c>
      <c r="X2602" s="21">
        <f>T2602/'Record info'!K$1119</f>
        <v>4.0394894921038423E-3</v>
      </c>
      <c r="Y2602" s="204" t="s">
        <v>2276</v>
      </c>
      <c r="Z2602" s="204" t="s">
        <v>35</v>
      </c>
      <c r="AA2602" s="204" t="s">
        <v>38</v>
      </c>
      <c r="AB2602" s="204" t="s">
        <v>64</v>
      </c>
      <c r="AC2602" s="204" t="s">
        <v>7628</v>
      </c>
      <c r="AD2602" s="204"/>
    </row>
    <row r="2603" spans="1:30" ht="28" customHeight="1">
      <c r="A2603" s="19" t="s">
        <v>7289</v>
      </c>
      <c r="B2603" s="19" t="s">
        <v>7345</v>
      </c>
      <c r="C2603" s="204" t="s">
        <v>24</v>
      </c>
      <c r="D2603" s="204" t="s">
        <v>1242</v>
      </c>
      <c r="E2603" s="204" t="s">
        <v>3209</v>
      </c>
      <c r="F2603" s="152" t="s">
        <v>2276</v>
      </c>
      <c r="G2603" s="152" t="s">
        <v>2276</v>
      </c>
      <c r="H2603" s="204" t="s">
        <v>523</v>
      </c>
      <c r="I2603" s="11">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1">
        <f>3250*0.068</f>
        <v>221.00000000000003</v>
      </c>
      <c r="U2603" s="204" t="s">
        <v>2276</v>
      </c>
      <c r="V2603" s="204" t="s">
        <v>2276</v>
      </c>
      <c r="W2603" s="204" t="s">
        <v>2276</v>
      </c>
      <c r="X2603" s="21">
        <f>T2603/'Record info'!K$1115</f>
        <v>8.1226109967656585E-3</v>
      </c>
      <c r="Y2603" s="204" t="s">
        <v>2276</v>
      </c>
      <c r="Z2603" s="204" t="s">
        <v>35</v>
      </c>
      <c r="AA2603" s="204" t="s">
        <v>38</v>
      </c>
      <c r="AB2603" s="204" t="s">
        <v>64</v>
      </c>
      <c r="AC2603" s="204" t="s">
        <v>7628</v>
      </c>
      <c r="AD2603" s="204"/>
    </row>
    <row r="2604" spans="1:30" ht="28" customHeight="1">
      <c r="A2604" s="19" t="s">
        <v>7290</v>
      </c>
      <c r="B2604" s="19" t="s">
        <v>7346</v>
      </c>
      <c r="C2604" s="204" t="s">
        <v>24</v>
      </c>
      <c r="D2604" s="204" t="s">
        <v>1242</v>
      </c>
      <c r="E2604" s="204" t="s">
        <v>3209</v>
      </c>
      <c r="F2604" s="152" t="s">
        <v>2276</v>
      </c>
      <c r="G2604" s="152" t="s">
        <v>2276</v>
      </c>
      <c r="H2604" s="204" t="s">
        <v>523</v>
      </c>
      <c r="I2604" s="11">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1">
        <f>3250*0.05</f>
        <v>162.5</v>
      </c>
      <c r="U2604" s="204" t="s">
        <v>2276</v>
      </c>
      <c r="V2604" s="204" t="s">
        <v>2276</v>
      </c>
      <c r="W2604" s="204" t="s">
        <v>2276</v>
      </c>
      <c r="X2604" s="21">
        <f>T2604/'Record info'!K$1116</f>
        <v>5.4336922356717715E-3</v>
      </c>
      <c r="Y2604" s="204" t="s">
        <v>2276</v>
      </c>
      <c r="Z2604" s="204" t="s">
        <v>35</v>
      </c>
      <c r="AA2604" s="204" t="s">
        <v>38</v>
      </c>
      <c r="AB2604" s="204" t="s">
        <v>64</v>
      </c>
      <c r="AC2604" s="204" t="s">
        <v>7628</v>
      </c>
      <c r="AD2604" s="204"/>
    </row>
    <row r="2605" spans="1:30" ht="28" customHeight="1">
      <c r="A2605" s="19" t="s">
        <v>7291</v>
      </c>
      <c r="B2605" s="19" t="s">
        <v>7347</v>
      </c>
      <c r="C2605" s="204" t="s">
        <v>24</v>
      </c>
      <c r="D2605" s="204" t="s">
        <v>1242</v>
      </c>
      <c r="E2605" s="204" t="s">
        <v>3209</v>
      </c>
      <c r="F2605" s="152" t="s">
        <v>2276</v>
      </c>
      <c r="G2605" s="152" t="s">
        <v>2276</v>
      </c>
      <c r="H2605" s="204" t="s">
        <v>523</v>
      </c>
      <c r="I2605" s="11">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1">
        <f>3250*0.493</f>
        <v>1602.25</v>
      </c>
      <c r="U2605" s="204" t="s">
        <v>2276</v>
      </c>
      <c r="V2605" s="204" t="s">
        <v>2276</v>
      </c>
      <c r="W2605" s="204" t="s">
        <v>2276</v>
      </c>
      <c r="X2605" s="21">
        <f>T2605/'Record info'!K$1117</f>
        <v>5.0364630811303553E-2</v>
      </c>
      <c r="Y2605" s="204" t="s">
        <v>2276</v>
      </c>
      <c r="Z2605" s="204" t="s">
        <v>35</v>
      </c>
      <c r="AA2605" s="204" t="s">
        <v>38</v>
      </c>
      <c r="AB2605" s="204" t="s">
        <v>64</v>
      </c>
      <c r="AC2605" s="204" t="s">
        <v>7628</v>
      </c>
      <c r="AD2605" s="204"/>
    </row>
    <row r="2606" spans="1:30" ht="28" customHeight="1">
      <c r="A2606" s="19" t="s">
        <v>7292</v>
      </c>
      <c r="B2606" s="19" t="s">
        <v>7348</v>
      </c>
      <c r="C2606" s="204" t="s">
        <v>24</v>
      </c>
      <c r="D2606" s="204" t="s">
        <v>1242</v>
      </c>
      <c r="E2606" s="204" t="s">
        <v>3209</v>
      </c>
      <c r="F2606" s="152" t="s">
        <v>2276</v>
      </c>
      <c r="G2606" s="152" t="s">
        <v>2276</v>
      </c>
      <c r="H2606" s="204" t="s">
        <v>523</v>
      </c>
      <c r="I2606" s="11">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1">
        <f>3250*0.375</f>
        <v>1218.75</v>
      </c>
      <c r="U2606" s="204" t="s">
        <v>2276</v>
      </c>
      <c r="V2606" s="204" t="s">
        <v>2276</v>
      </c>
      <c r="W2606" s="204" t="s">
        <v>2276</v>
      </c>
      <c r="X2606" s="21">
        <f>T2606/'Record info'!K$1118</f>
        <v>0.10146103896103896</v>
      </c>
      <c r="Y2606" s="204" t="s">
        <v>2276</v>
      </c>
      <c r="Z2606" s="204" t="s">
        <v>35</v>
      </c>
      <c r="AA2606" s="204" t="s">
        <v>38</v>
      </c>
      <c r="AB2606" s="204" t="s">
        <v>64</v>
      </c>
      <c r="AC2606" s="204" t="s">
        <v>7628</v>
      </c>
      <c r="AD2606" s="204"/>
    </row>
    <row r="2607" spans="1:30" ht="28" customHeight="1">
      <c r="A2607" s="19" t="s">
        <v>7293</v>
      </c>
      <c r="B2607" s="19" t="s">
        <v>7349</v>
      </c>
      <c r="C2607" s="204" t="s">
        <v>24</v>
      </c>
      <c r="D2607" s="204" t="s">
        <v>1242</v>
      </c>
      <c r="E2607" s="204" t="s">
        <v>3209</v>
      </c>
      <c r="F2607" s="152" t="s">
        <v>2276</v>
      </c>
      <c r="G2607" s="152" t="s">
        <v>2276</v>
      </c>
      <c r="H2607" s="204" t="s">
        <v>523</v>
      </c>
      <c r="I2607" s="11">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1">
        <f>3250*0.058</f>
        <v>188.5</v>
      </c>
      <c r="U2607" s="204" t="s">
        <v>2276</v>
      </c>
      <c r="V2607" s="204" t="s">
        <v>2276</v>
      </c>
      <c r="W2607" s="204" t="s">
        <v>2276</v>
      </c>
      <c r="X2607" s="21">
        <f>T2607/'Record info'!K$1119</f>
        <v>3.2820852123343724E-3</v>
      </c>
      <c r="Y2607" s="204" t="s">
        <v>2276</v>
      </c>
      <c r="Z2607" s="204" t="s">
        <v>35</v>
      </c>
      <c r="AA2607" s="204" t="s">
        <v>38</v>
      </c>
      <c r="AB2607" s="204" t="s">
        <v>64</v>
      </c>
      <c r="AC2607" s="204" t="s">
        <v>7628</v>
      </c>
      <c r="AD2607" s="204"/>
    </row>
    <row r="2608" spans="1:30" ht="28" customHeight="1">
      <c r="A2608" s="19" t="s">
        <v>7289</v>
      </c>
      <c r="B2608" s="19" t="s">
        <v>7350</v>
      </c>
      <c r="C2608" s="204" t="s">
        <v>24</v>
      </c>
      <c r="D2608" s="204" t="s">
        <v>1242</v>
      </c>
      <c r="E2608" s="204" t="s">
        <v>3209</v>
      </c>
      <c r="F2608" s="152" t="s">
        <v>2276</v>
      </c>
      <c r="G2608" s="152" t="s">
        <v>2276</v>
      </c>
      <c r="H2608" s="204" t="s">
        <v>523</v>
      </c>
      <c r="I2608" s="11">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1">
        <f>2500*0.068</f>
        <v>170</v>
      </c>
      <c r="U2608" s="204" t="s">
        <v>2276</v>
      </c>
      <c r="V2608" s="204" t="s">
        <v>2276</v>
      </c>
      <c r="W2608" s="204" t="s">
        <v>2276</v>
      </c>
      <c r="X2608" s="21">
        <f>T2608/'Record info'!K$1115</f>
        <v>6.2481623052043521E-3</v>
      </c>
      <c r="Y2608" s="204" t="s">
        <v>2276</v>
      </c>
      <c r="Z2608" s="204" t="s">
        <v>35</v>
      </c>
      <c r="AA2608" s="204" t="s">
        <v>38</v>
      </c>
      <c r="AB2608" s="204" t="s">
        <v>64</v>
      </c>
      <c r="AC2608" s="204" t="s">
        <v>7628</v>
      </c>
      <c r="AD2608" s="204"/>
    </row>
    <row r="2609" spans="1:30" ht="28" customHeight="1">
      <c r="A2609" s="19" t="s">
        <v>7290</v>
      </c>
      <c r="B2609" s="19" t="s">
        <v>7351</v>
      </c>
      <c r="C2609" s="204" t="s">
        <v>24</v>
      </c>
      <c r="D2609" s="204" t="s">
        <v>1242</v>
      </c>
      <c r="E2609" s="204" t="s">
        <v>3209</v>
      </c>
      <c r="F2609" s="152" t="s">
        <v>2276</v>
      </c>
      <c r="G2609" s="152" t="s">
        <v>2276</v>
      </c>
      <c r="H2609" s="204" t="s">
        <v>523</v>
      </c>
      <c r="I2609" s="11">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1">
        <f>2500*0.05</f>
        <v>125</v>
      </c>
      <c r="U2609" s="204" t="s">
        <v>2276</v>
      </c>
      <c r="V2609" s="204" t="s">
        <v>2276</v>
      </c>
      <c r="W2609" s="204" t="s">
        <v>2276</v>
      </c>
      <c r="X2609" s="21">
        <f>T2609/'Record info'!K$1116</f>
        <v>4.1797632582090552E-3</v>
      </c>
      <c r="Y2609" s="204" t="s">
        <v>2276</v>
      </c>
      <c r="Z2609" s="204" t="s">
        <v>35</v>
      </c>
      <c r="AA2609" s="204" t="s">
        <v>38</v>
      </c>
      <c r="AB2609" s="204" t="s">
        <v>64</v>
      </c>
      <c r="AC2609" s="204" t="s">
        <v>7628</v>
      </c>
      <c r="AD2609" s="204"/>
    </row>
    <row r="2610" spans="1:30" ht="28" customHeight="1">
      <c r="A2610" s="19" t="s">
        <v>7291</v>
      </c>
      <c r="B2610" s="19" t="s">
        <v>7352</v>
      </c>
      <c r="C2610" s="204" t="s">
        <v>24</v>
      </c>
      <c r="D2610" s="204" t="s">
        <v>1242</v>
      </c>
      <c r="E2610" s="204" t="s">
        <v>3209</v>
      </c>
      <c r="F2610" s="152" t="s">
        <v>2276</v>
      </c>
      <c r="G2610" s="152" t="s">
        <v>2276</v>
      </c>
      <c r="H2610" s="204" t="s">
        <v>523</v>
      </c>
      <c r="I2610" s="11">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1">
        <f>2500*0.493</f>
        <v>1232.5</v>
      </c>
      <c r="U2610" s="204" t="s">
        <v>2276</v>
      </c>
      <c r="V2610" s="204" t="s">
        <v>2276</v>
      </c>
      <c r="W2610" s="204" t="s">
        <v>2276</v>
      </c>
      <c r="X2610" s="21">
        <f>T2610/'Record info'!K$1117</f>
        <v>3.8742023701002735E-2</v>
      </c>
      <c r="Y2610" s="204" t="s">
        <v>2276</v>
      </c>
      <c r="Z2610" s="204" t="s">
        <v>35</v>
      </c>
      <c r="AA2610" s="204" t="s">
        <v>38</v>
      </c>
      <c r="AB2610" s="204" t="s">
        <v>64</v>
      </c>
      <c r="AC2610" s="204" t="s">
        <v>7628</v>
      </c>
      <c r="AD2610" s="204"/>
    </row>
    <row r="2611" spans="1:30" ht="28" customHeight="1">
      <c r="A2611" s="19" t="s">
        <v>7292</v>
      </c>
      <c r="B2611" s="19" t="s">
        <v>7353</v>
      </c>
      <c r="C2611" s="204" t="s">
        <v>24</v>
      </c>
      <c r="D2611" s="204" t="s">
        <v>1242</v>
      </c>
      <c r="E2611" s="204" t="s">
        <v>3209</v>
      </c>
      <c r="F2611" s="152" t="s">
        <v>2276</v>
      </c>
      <c r="G2611" s="152" t="s">
        <v>2276</v>
      </c>
      <c r="H2611" s="204" t="s">
        <v>523</v>
      </c>
      <c r="I2611" s="11">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1">
        <f>2500*0.375</f>
        <v>937.5</v>
      </c>
      <c r="U2611" s="204" t="s">
        <v>2276</v>
      </c>
      <c r="V2611" s="204" t="s">
        <v>2276</v>
      </c>
      <c r="W2611" s="204" t="s">
        <v>2276</v>
      </c>
      <c r="X2611" s="21">
        <f>T2611/'Record info'!K$1118</f>
        <v>7.8046953046953041E-2</v>
      </c>
      <c r="Y2611" s="204" t="s">
        <v>2276</v>
      </c>
      <c r="Z2611" s="204" t="s">
        <v>35</v>
      </c>
      <c r="AA2611" s="204" t="s">
        <v>38</v>
      </c>
      <c r="AB2611" s="204" t="s">
        <v>64</v>
      </c>
      <c r="AC2611" s="204" t="s">
        <v>7628</v>
      </c>
      <c r="AD2611" s="204"/>
    </row>
    <row r="2612" spans="1:30" ht="30" customHeight="1">
      <c r="A2612" s="19" t="s">
        <v>7293</v>
      </c>
      <c r="B2612" s="19" t="s">
        <v>7354</v>
      </c>
      <c r="C2612" s="204" t="s">
        <v>24</v>
      </c>
      <c r="D2612" s="204" t="s">
        <v>1242</v>
      </c>
      <c r="E2612" s="204" t="s">
        <v>3209</v>
      </c>
      <c r="F2612" s="152" t="s">
        <v>2276</v>
      </c>
      <c r="G2612" s="152" t="s">
        <v>2276</v>
      </c>
      <c r="H2612" s="204" t="s">
        <v>523</v>
      </c>
      <c r="I2612" s="11">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1">
        <f>2500*0.058</f>
        <v>145</v>
      </c>
      <c r="U2612" s="204" t="s">
        <v>2276</v>
      </c>
      <c r="V2612" s="204" t="s">
        <v>2276</v>
      </c>
      <c r="W2612" s="204" t="s">
        <v>2276</v>
      </c>
      <c r="X2612" s="21">
        <f>T2612/'Record info'!K$1119</f>
        <v>2.5246809325649017E-3</v>
      </c>
      <c r="Y2612" s="204" t="s">
        <v>2276</v>
      </c>
      <c r="Z2612" s="204" t="s">
        <v>35</v>
      </c>
      <c r="AA2612" s="204" t="s">
        <v>38</v>
      </c>
      <c r="AB2612" s="204" t="s">
        <v>64</v>
      </c>
      <c r="AC2612" s="204" t="s">
        <v>7628</v>
      </c>
      <c r="AD2612" s="204"/>
    </row>
    <row r="2613" spans="1:30" ht="30" customHeight="1">
      <c r="A2613" s="19" t="s">
        <v>7289</v>
      </c>
      <c r="B2613" s="19" t="s">
        <v>7355</v>
      </c>
      <c r="C2613" s="204" t="s">
        <v>24</v>
      </c>
      <c r="D2613" s="204" t="s">
        <v>1242</v>
      </c>
      <c r="E2613" s="204" t="s">
        <v>3209</v>
      </c>
      <c r="F2613" s="152" t="s">
        <v>2276</v>
      </c>
      <c r="G2613" s="152" t="s">
        <v>2276</v>
      </c>
      <c r="H2613" s="204" t="s">
        <v>523</v>
      </c>
      <c r="I2613" s="11">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1">
        <f>4250*0.068</f>
        <v>289</v>
      </c>
      <c r="U2613" s="204" t="s">
        <v>2276</v>
      </c>
      <c r="V2613" s="204" t="s">
        <v>2276</v>
      </c>
      <c r="W2613" s="204" t="s">
        <v>2276</v>
      </c>
      <c r="X2613" s="21">
        <f>T2613/'Record info'!K$1115</f>
        <v>1.0621875918847399E-2</v>
      </c>
      <c r="Y2613" s="204" t="s">
        <v>2276</v>
      </c>
      <c r="Z2613" s="204" t="s">
        <v>35</v>
      </c>
      <c r="AA2613" s="204" t="s">
        <v>38</v>
      </c>
      <c r="AB2613" s="204" t="s">
        <v>64</v>
      </c>
      <c r="AC2613" s="204" t="s">
        <v>7628</v>
      </c>
      <c r="AD2613" s="204"/>
    </row>
    <row r="2614" spans="1:30" ht="30" customHeight="1">
      <c r="A2614" s="19" t="s">
        <v>7290</v>
      </c>
      <c r="B2614" s="19" t="s">
        <v>7356</v>
      </c>
      <c r="C2614" s="204" t="s">
        <v>24</v>
      </c>
      <c r="D2614" s="204" t="s">
        <v>1242</v>
      </c>
      <c r="E2614" s="204" t="s">
        <v>3209</v>
      </c>
      <c r="F2614" s="152" t="s">
        <v>2276</v>
      </c>
      <c r="G2614" s="152" t="s">
        <v>2276</v>
      </c>
      <c r="H2614" s="204" t="s">
        <v>523</v>
      </c>
      <c r="I2614" s="11">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1">
        <f>4250*0.05</f>
        <v>212.5</v>
      </c>
      <c r="U2614" s="204" t="s">
        <v>2276</v>
      </c>
      <c r="V2614" s="204" t="s">
        <v>2276</v>
      </c>
      <c r="W2614" s="204" t="s">
        <v>2276</v>
      </c>
      <c r="X2614" s="21">
        <f>T2614/'Record info'!K$1116</f>
        <v>7.1055975389553933E-3</v>
      </c>
      <c r="Y2614" s="204" t="s">
        <v>2276</v>
      </c>
      <c r="Z2614" s="204" t="s">
        <v>35</v>
      </c>
      <c r="AA2614" s="204" t="s">
        <v>38</v>
      </c>
      <c r="AB2614" s="204" t="s">
        <v>64</v>
      </c>
      <c r="AC2614" s="204" t="s">
        <v>7628</v>
      </c>
      <c r="AD2614" s="204"/>
    </row>
    <row r="2615" spans="1:30" ht="30" customHeight="1">
      <c r="A2615" s="19" t="s">
        <v>7291</v>
      </c>
      <c r="B2615" s="19" t="s">
        <v>7357</v>
      </c>
      <c r="C2615" s="204" t="s">
        <v>24</v>
      </c>
      <c r="D2615" s="204" t="s">
        <v>1242</v>
      </c>
      <c r="E2615" s="204" t="s">
        <v>3209</v>
      </c>
      <c r="F2615" s="152" t="s">
        <v>2276</v>
      </c>
      <c r="G2615" s="152" t="s">
        <v>2276</v>
      </c>
      <c r="H2615" s="204" t="s">
        <v>523</v>
      </c>
      <c r="I2615" s="11">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1">
        <f>4250*0.493</f>
        <v>2095.25</v>
      </c>
      <c r="U2615" s="204" t="s">
        <v>2276</v>
      </c>
      <c r="V2615" s="204" t="s">
        <v>2276</v>
      </c>
      <c r="W2615" s="204" t="s">
        <v>2276</v>
      </c>
      <c r="X2615" s="21">
        <f>T2615/'Record info'!K$1117</f>
        <v>6.5861440291704654E-2</v>
      </c>
      <c r="Y2615" s="204" t="s">
        <v>2276</v>
      </c>
      <c r="Z2615" s="204" t="s">
        <v>35</v>
      </c>
      <c r="AA2615" s="204" t="s">
        <v>38</v>
      </c>
      <c r="AB2615" s="204" t="s">
        <v>64</v>
      </c>
      <c r="AC2615" s="204" t="s">
        <v>7628</v>
      </c>
      <c r="AD2615" s="204"/>
    </row>
    <row r="2616" spans="1:30" ht="30" customHeight="1">
      <c r="A2616" s="19" t="s">
        <v>7292</v>
      </c>
      <c r="B2616" s="19" t="s">
        <v>7358</v>
      </c>
      <c r="C2616" s="204" t="s">
        <v>24</v>
      </c>
      <c r="D2616" s="204" t="s">
        <v>1242</v>
      </c>
      <c r="E2616" s="204" t="s">
        <v>3209</v>
      </c>
      <c r="F2616" s="152" t="s">
        <v>2276</v>
      </c>
      <c r="G2616" s="152" t="s">
        <v>2276</v>
      </c>
      <c r="H2616" s="204" t="s">
        <v>523</v>
      </c>
      <c r="I2616" s="11">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1">
        <f>4250*0.375</f>
        <v>1593.75</v>
      </c>
      <c r="U2616" s="204" t="s">
        <v>2276</v>
      </c>
      <c r="V2616" s="204" t="s">
        <v>2276</v>
      </c>
      <c r="W2616" s="204" t="s">
        <v>2276</v>
      </c>
      <c r="X2616" s="21">
        <f>T2616/'Record info'!K$1118</f>
        <v>0.13267982017982019</v>
      </c>
      <c r="Y2616" s="204" t="s">
        <v>2276</v>
      </c>
      <c r="Z2616" s="204" t="s">
        <v>35</v>
      </c>
      <c r="AA2616" s="204" t="s">
        <v>38</v>
      </c>
      <c r="AB2616" s="204" t="s">
        <v>64</v>
      </c>
      <c r="AC2616" s="204" t="s">
        <v>7628</v>
      </c>
      <c r="AD2616" s="204"/>
    </row>
    <row r="2617" spans="1:30" ht="30" customHeight="1">
      <c r="A2617" s="19" t="s">
        <v>7293</v>
      </c>
      <c r="B2617" s="19" t="s">
        <v>7359</v>
      </c>
      <c r="C2617" s="204" t="s">
        <v>24</v>
      </c>
      <c r="D2617" s="204" t="s">
        <v>1242</v>
      </c>
      <c r="E2617" s="204" t="s">
        <v>3209</v>
      </c>
      <c r="F2617" s="152" t="s">
        <v>2276</v>
      </c>
      <c r="G2617" s="152" t="s">
        <v>2276</v>
      </c>
      <c r="H2617" s="204" t="s">
        <v>523</v>
      </c>
      <c r="I2617" s="11">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1">
        <f>4250*0.058</f>
        <v>246.5</v>
      </c>
      <c r="U2617" s="204" t="s">
        <v>2276</v>
      </c>
      <c r="V2617" s="204" t="s">
        <v>2276</v>
      </c>
      <c r="W2617" s="204" t="s">
        <v>2276</v>
      </c>
      <c r="X2617" s="21">
        <f>T2617/'Record info'!K$1119</f>
        <v>4.291957585360333E-3</v>
      </c>
      <c r="Y2617" s="204" t="s">
        <v>2276</v>
      </c>
      <c r="Z2617" s="204" t="s">
        <v>35</v>
      </c>
      <c r="AA2617" s="204" t="s">
        <v>38</v>
      </c>
      <c r="AB2617" s="204" t="s">
        <v>64</v>
      </c>
      <c r="AC2617" s="204" t="s">
        <v>7628</v>
      </c>
      <c r="AD2617" s="204"/>
    </row>
    <row r="2618" spans="1:30" ht="30" customHeight="1">
      <c r="A2618" s="19" t="s">
        <v>7289</v>
      </c>
      <c r="B2618" s="19" t="s">
        <v>7360</v>
      </c>
      <c r="C2618" s="204" t="s">
        <v>24</v>
      </c>
      <c r="D2618" s="204" t="s">
        <v>1242</v>
      </c>
      <c r="E2618" s="204" t="s">
        <v>3209</v>
      </c>
      <c r="F2618" s="152" t="s">
        <v>2276</v>
      </c>
      <c r="G2618" s="152" t="s">
        <v>2276</v>
      </c>
      <c r="H2618" s="204" t="s">
        <v>523</v>
      </c>
      <c r="I2618" s="204">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1">
        <f>3750*0.068</f>
        <v>255.00000000000003</v>
      </c>
      <c r="U2618" s="204" t="s">
        <v>2276</v>
      </c>
      <c r="V2618" s="204" t="s">
        <v>2276</v>
      </c>
      <c r="W2618" s="204" t="s">
        <v>2276</v>
      </c>
      <c r="X2618" s="21">
        <f>T2618/'Record info'!K$1115</f>
        <v>9.3722434578065294E-3</v>
      </c>
      <c r="Y2618" s="204" t="s">
        <v>2276</v>
      </c>
      <c r="Z2618" s="204" t="s">
        <v>35</v>
      </c>
      <c r="AA2618" s="204" t="s">
        <v>38</v>
      </c>
      <c r="AB2618" s="204" t="s">
        <v>64</v>
      </c>
      <c r="AC2618" s="204" t="s">
        <v>7628</v>
      </c>
      <c r="AD2618" s="204"/>
    </row>
    <row r="2619" spans="1:30" ht="30" customHeight="1">
      <c r="A2619" s="19" t="s">
        <v>7290</v>
      </c>
      <c r="B2619" s="19" t="s">
        <v>7361</v>
      </c>
      <c r="C2619" s="204" t="s">
        <v>24</v>
      </c>
      <c r="D2619" s="204" t="s">
        <v>1242</v>
      </c>
      <c r="E2619" s="204" t="s">
        <v>3209</v>
      </c>
      <c r="F2619" s="152" t="s">
        <v>2276</v>
      </c>
      <c r="G2619" s="152" t="s">
        <v>2276</v>
      </c>
      <c r="H2619" s="204" t="s">
        <v>523</v>
      </c>
      <c r="I2619" s="204">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1">
        <f>3750*0.05</f>
        <v>187.5</v>
      </c>
      <c r="U2619" s="204" t="s">
        <v>2276</v>
      </c>
      <c r="V2619" s="204" t="s">
        <v>2276</v>
      </c>
      <c r="W2619" s="204" t="s">
        <v>2276</v>
      </c>
      <c r="X2619" s="21">
        <f>T2619/'Record info'!K$1116</f>
        <v>6.2696448873135824E-3</v>
      </c>
      <c r="Y2619" s="204" t="s">
        <v>2276</v>
      </c>
      <c r="Z2619" s="204" t="s">
        <v>35</v>
      </c>
      <c r="AA2619" s="204" t="s">
        <v>38</v>
      </c>
      <c r="AB2619" s="204" t="s">
        <v>64</v>
      </c>
      <c r="AC2619" s="204" t="s">
        <v>7628</v>
      </c>
      <c r="AD2619" s="204"/>
    </row>
    <row r="2620" spans="1:30" ht="30" customHeight="1">
      <c r="A2620" s="19" t="s">
        <v>7291</v>
      </c>
      <c r="B2620" s="19" t="s">
        <v>7362</v>
      </c>
      <c r="C2620" s="204" t="s">
        <v>24</v>
      </c>
      <c r="D2620" s="204" t="s">
        <v>1242</v>
      </c>
      <c r="E2620" s="204" t="s">
        <v>3209</v>
      </c>
      <c r="F2620" s="152" t="s">
        <v>2276</v>
      </c>
      <c r="G2620" s="152" t="s">
        <v>2276</v>
      </c>
      <c r="H2620" s="204" t="s">
        <v>523</v>
      </c>
      <c r="I2620" s="204">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1">
        <f>3750*0.493</f>
        <v>1848.75</v>
      </c>
      <c r="U2620" s="204" t="s">
        <v>2276</v>
      </c>
      <c r="V2620" s="204" t="s">
        <v>2276</v>
      </c>
      <c r="W2620" s="204" t="s">
        <v>2276</v>
      </c>
      <c r="X2620" s="21">
        <f>T2620/'Record info'!K$1117</f>
        <v>5.81130355515041E-2</v>
      </c>
      <c r="Y2620" s="204" t="s">
        <v>2276</v>
      </c>
      <c r="Z2620" s="204" t="s">
        <v>35</v>
      </c>
      <c r="AA2620" s="204" t="s">
        <v>38</v>
      </c>
      <c r="AB2620" s="204" t="s">
        <v>64</v>
      </c>
      <c r="AC2620" s="204" t="s">
        <v>7628</v>
      </c>
      <c r="AD2620" s="204"/>
    </row>
    <row r="2621" spans="1:30" ht="30" customHeight="1">
      <c r="A2621" s="19" t="s">
        <v>7292</v>
      </c>
      <c r="B2621" s="19" t="s">
        <v>7363</v>
      </c>
      <c r="C2621" s="204" t="s">
        <v>24</v>
      </c>
      <c r="D2621" s="204" t="s">
        <v>1242</v>
      </c>
      <c r="E2621" s="204" t="s">
        <v>3209</v>
      </c>
      <c r="F2621" s="152" t="s">
        <v>2276</v>
      </c>
      <c r="G2621" s="152" t="s">
        <v>2276</v>
      </c>
      <c r="H2621" s="204" t="s">
        <v>523</v>
      </c>
      <c r="I2621" s="204">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1">
        <f>3750*0.375</f>
        <v>1406.25</v>
      </c>
      <c r="U2621" s="204" t="s">
        <v>2276</v>
      </c>
      <c r="V2621" s="204" t="s">
        <v>2276</v>
      </c>
      <c r="W2621" s="204" t="s">
        <v>2276</v>
      </c>
      <c r="X2621" s="21">
        <f>T2621/'Record info'!K$1118</f>
        <v>0.11707042957042957</v>
      </c>
      <c r="Y2621" s="204" t="s">
        <v>2276</v>
      </c>
      <c r="Z2621" s="204" t="s">
        <v>35</v>
      </c>
      <c r="AA2621" s="204" t="s">
        <v>38</v>
      </c>
      <c r="AB2621" s="204" t="s">
        <v>64</v>
      </c>
      <c r="AC2621" s="204" t="s">
        <v>7628</v>
      </c>
      <c r="AD2621" s="204"/>
    </row>
    <row r="2622" spans="1:30" ht="30" customHeight="1">
      <c r="A2622" s="19" t="s">
        <v>7293</v>
      </c>
      <c r="B2622" s="19" t="s">
        <v>7364</v>
      </c>
      <c r="C2622" s="204" t="s">
        <v>24</v>
      </c>
      <c r="D2622" s="204" t="s">
        <v>1242</v>
      </c>
      <c r="E2622" s="204" t="s">
        <v>3209</v>
      </c>
      <c r="F2622" s="152" t="s">
        <v>2276</v>
      </c>
      <c r="G2622" s="152" t="s">
        <v>2276</v>
      </c>
      <c r="H2622" s="204" t="s">
        <v>523</v>
      </c>
      <c r="I2622" s="204">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1">
        <f>3750*0.058</f>
        <v>217.5</v>
      </c>
      <c r="U2622" s="204" t="s">
        <v>2276</v>
      </c>
      <c r="V2622" s="204" t="s">
        <v>2276</v>
      </c>
      <c r="W2622" s="204" t="s">
        <v>2276</v>
      </c>
      <c r="X2622" s="21">
        <f>T2622/'Record info'!K$1119</f>
        <v>3.7870213988473525E-3</v>
      </c>
      <c r="Y2622" s="204" t="s">
        <v>2276</v>
      </c>
      <c r="Z2622" s="204" t="s">
        <v>35</v>
      </c>
      <c r="AA2622" s="204" t="s">
        <v>38</v>
      </c>
      <c r="AB2622" s="204" t="s">
        <v>64</v>
      </c>
      <c r="AC2622" s="204" t="s">
        <v>7628</v>
      </c>
      <c r="AD2622" s="204"/>
    </row>
    <row r="2623" spans="1:30" ht="30" customHeight="1">
      <c r="A2623" s="19" t="s">
        <v>7289</v>
      </c>
      <c r="B2623" s="19" t="s">
        <v>7365</v>
      </c>
      <c r="C2623" s="204" t="s">
        <v>24</v>
      </c>
      <c r="D2623" s="204" t="s">
        <v>1242</v>
      </c>
      <c r="E2623" s="204" t="s">
        <v>3209</v>
      </c>
      <c r="F2623" s="152" t="s">
        <v>2276</v>
      </c>
      <c r="G2623" s="152" t="s">
        <v>2276</v>
      </c>
      <c r="H2623" s="204" t="s">
        <v>523</v>
      </c>
      <c r="I2623" s="204">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1">
        <f>2000*0.068</f>
        <v>136</v>
      </c>
      <c r="U2623" s="204" t="s">
        <v>2276</v>
      </c>
      <c r="V2623" s="204" t="s">
        <v>2276</v>
      </c>
      <c r="W2623" s="204" t="s">
        <v>2276</v>
      </c>
      <c r="X2623" s="21">
        <f>T2623/'Record info'!K$1115</f>
        <v>4.9985298441634811E-3</v>
      </c>
      <c r="Y2623" s="204" t="s">
        <v>2276</v>
      </c>
      <c r="Z2623" s="204" t="s">
        <v>35</v>
      </c>
      <c r="AA2623" s="204" t="s">
        <v>38</v>
      </c>
      <c r="AB2623" s="204" t="s">
        <v>64</v>
      </c>
      <c r="AC2623" s="204" t="s">
        <v>7628</v>
      </c>
      <c r="AD2623" s="204"/>
    </row>
    <row r="2624" spans="1:30" ht="30" customHeight="1">
      <c r="A2624" s="19" t="s">
        <v>7290</v>
      </c>
      <c r="B2624" s="19" t="s">
        <v>7366</v>
      </c>
      <c r="C2624" s="204" t="s">
        <v>24</v>
      </c>
      <c r="D2624" s="204" t="s">
        <v>1242</v>
      </c>
      <c r="E2624" s="204" t="s">
        <v>3209</v>
      </c>
      <c r="F2624" s="152" t="s">
        <v>2276</v>
      </c>
      <c r="G2624" s="152" t="s">
        <v>2276</v>
      </c>
      <c r="H2624" s="204" t="s">
        <v>523</v>
      </c>
      <c r="I2624" s="204">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1">
        <f>2000*0.05</f>
        <v>100</v>
      </c>
      <c r="U2624" s="204" t="s">
        <v>2276</v>
      </c>
      <c r="V2624" s="204" t="s">
        <v>2276</v>
      </c>
      <c r="W2624" s="204" t="s">
        <v>2276</v>
      </c>
      <c r="X2624" s="21">
        <f>T2624/'Record info'!K$1116</f>
        <v>3.3438106065672439E-3</v>
      </c>
      <c r="Y2624" s="204" t="s">
        <v>2276</v>
      </c>
      <c r="Z2624" s="204" t="s">
        <v>35</v>
      </c>
      <c r="AA2624" s="204" t="s">
        <v>38</v>
      </c>
      <c r="AB2624" s="204" t="s">
        <v>64</v>
      </c>
      <c r="AC2624" s="204" t="s">
        <v>7628</v>
      </c>
      <c r="AD2624" s="204"/>
    </row>
    <row r="2625" spans="1:30" ht="30" customHeight="1">
      <c r="A2625" s="19" t="s">
        <v>7291</v>
      </c>
      <c r="B2625" s="19" t="s">
        <v>7367</v>
      </c>
      <c r="C2625" s="204" t="s">
        <v>24</v>
      </c>
      <c r="D2625" s="204" t="s">
        <v>1242</v>
      </c>
      <c r="E2625" s="204" t="s">
        <v>3209</v>
      </c>
      <c r="F2625" s="152" t="s">
        <v>2276</v>
      </c>
      <c r="G2625" s="152" t="s">
        <v>2276</v>
      </c>
      <c r="H2625" s="204" t="s">
        <v>523</v>
      </c>
      <c r="I2625" s="204">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1">
        <f>2000*0.493</f>
        <v>986</v>
      </c>
      <c r="U2625" s="204" t="s">
        <v>2276</v>
      </c>
      <c r="V2625" s="204" t="s">
        <v>2276</v>
      </c>
      <c r="W2625" s="204" t="s">
        <v>2276</v>
      </c>
      <c r="X2625" s="21">
        <f>T2625/'Record info'!K$1117</f>
        <v>3.0993618960802188E-2</v>
      </c>
      <c r="Y2625" s="204" t="s">
        <v>2276</v>
      </c>
      <c r="Z2625" s="204" t="s">
        <v>35</v>
      </c>
      <c r="AA2625" s="204" t="s">
        <v>38</v>
      </c>
      <c r="AB2625" s="204" t="s">
        <v>64</v>
      </c>
      <c r="AC2625" s="204" t="s">
        <v>7628</v>
      </c>
      <c r="AD2625" s="204"/>
    </row>
    <row r="2626" spans="1:30" ht="30" customHeight="1">
      <c r="A2626" s="19" t="s">
        <v>7292</v>
      </c>
      <c r="B2626" s="19" t="s">
        <v>7368</v>
      </c>
      <c r="C2626" s="204" t="s">
        <v>24</v>
      </c>
      <c r="D2626" s="204" t="s">
        <v>1242</v>
      </c>
      <c r="E2626" s="204" t="s">
        <v>3209</v>
      </c>
      <c r="F2626" s="152" t="s">
        <v>2276</v>
      </c>
      <c r="G2626" s="152" t="s">
        <v>2276</v>
      </c>
      <c r="H2626" s="204" t="s">
        <v>523</v>
      </c>
      <c r="I2626" s="204">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1">
        <f>2000*0.375</f>
        <v>750</v>
      </c>
      <c r="U2626" s="204" t="s">
        <v>2276</v>
      </c>
      <c r="V2626" s="204" t="s">
        <v>2276</v>
      </c>
      <c r="W2626" s="204" t="s">
        <v>2276</v>
      </c>
      <c r="X2626" s="21">
        <f>T2626/'Record info'!K$1118</f>
        <v>6.243756243756244E-2</v>
      </c>
      <c r="Y2626" s="204" t="s">
        <v>2276</v>
      </c>
      <c r="Z2626" s="204" t="s">
        <v>35</v>
      </c>
      <c r="AA2626" s="204" t="s">
        <v>38</v>
      </c>
      <c r="AB2626" s="204" t="s">
        <v>64</v>
      </c>
      <c r="AC2626" s="204" t="s">
        <v>7628</v>
      </c>
      <c r="AD2626" s="204"/>
    </row>
    <row r="2627" spans="1:30" ht="30" customHeight="1">
      <c r="A2627" s="19" t="s">
        <v>7293</v>
      </c>
      <c r="B2627" s="19" t="s">
        <v>7369</v>
      </c>
      <c r="C2627" s="204" t="s">
        <v>24</v>
      </c>
      <c r="D2627" s="204" t="s">
        <v>1242</v>
      </c>
      <c r="E2627" s="204" t="s">
        <v>3209</v>
      </c>
      <c r="F2627" s="152" t="s">
        <v>2276</v>
      </c>
      <c r="G2627" s="152" t="s">
        <v>2276</v>
      </c>
      <c r="H2627" s="204" t="s">
        <v>523</v>
      </c>
      <c r="I2627" s="204">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1">
        <f>2000*0.058</f>
        <v>116</v>
      </c>
      <c r="U2627" s="204" t="s">
        <v>2276</v>
      </c>
      <c r="V2627" s="204" t="s">
        <v>2276</v>
      </c>
      <c r="W2627" s="204" t="s">
        <v>2276</v>
      </c>
      <c r="X2627" s="21">
        <f>T2627/'Record info'!K$1119</f>
        <v>2.0197447460519212E-3</v>
      </c>
      <c r="Y2627" s="204" t="s">
        <v>2276</v>
      </c>
      <c r="Z2627" s="204" t="s">
        <v>35</v>
      </c>
      <c r="AA2627" s="204" t="s">
        <v>38</v>
      </c>
      <c r="AB2627" s="204" t="s">
        <v>64</v>
      </c>
      <c r="AC2627" s="204" t="s">
        <v>7628</v>
      </c>
      <c r="AD2627" s="204"/>
    </row>
    <row r="2628" spans="1:30" ht="30" customHeight="1">
      <c r="A2628" s="19" t="s">
        <v>7289</v>
      </c>
      <c r="B2628" s="19" t="s">
        <v>7370</v>
      </c>
      <c r="C2628" s="204" t="s">
        <v>24</v>
      </c>
      <c r="D2628" s="204" t="s">
        <v>1242</v>
      </c>
      <c r="E2628" s="204" t="s">
        <v>3209</v>
      </c>
      <c r="F2628" s="152" t="s">
        <v>2276</v>
      </c>
      <c r="G2628" s="152" t="s">
        <v>2276</v>
      </c>
      <c r="H2628" s="204" t="s">
        <v>523</v>
      </c>
      <c r="I2628" s="204">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1">
        <f>4000*0.068</f>
        <v>272</v>
      </c>
      <c r="U2628" s="204" t="s">
        <v>2276</v>
      </c>
      <c r="V2628" s="204" t="s">
        <v>2276</v>
      </c>
      <c r="W2628" s="204" t="s">
        <v>2276</v>
      </c>
      <c r="X2628" s="21">
        <f>T2628/'Record info'!K$1115</f>
        <v>9.9970596883269622E-3</v>
      </c>
      <c r="Y2628" s="204" t="s">
        <v>2276</v>
      </c>
      <c r="Z2628" s="204" t="s">
        <v>35</v>
      </c>
      <c r="AA2628" s="204" t="s">
        <v>38</v>
      </c>
      <c r="AB2628" s="204" t="s">
        <v>64</v>
      </c>
      <c r="AC2628" s="204" t="s">
        <v>7628</v>
      </c>
      <c r="AD2628" s="204"/>
    </row>
    <row r="2629" spans="1:30" ht="30" customHeight="1">
      <c r="A2629" s="19" t="s">
        <v>7290</v>
      </c>
      <c r="B2629" s="19" t="s">
        <v>7371</v>
      </c>
      <c r="C2629" s="204" t="s">
        <v>24</v>
      </c>
      <c r="D2629" s="204" t="s">
        <v>1242</v>
      </c>
      <c r="E2629" s="204" t="s">
        <v>3209</v>
      </c>
      <c r="F2629" s="152" t="s">
        <v>2276</v>
      </c>
      <c r="G2629" s="152" t="s">
        <v>2276</v>
      </c>
      <c r="H2629" s="204" t="s">
        <v>523</v>
      </c>
      <c r="I2629" s="204">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1">
        <f>4000*0.05</f>
        <v>200</v>
      </c>
      <c r="U2629" s="204" t="s">
        <v>2276</v>
      </c>
      <c r="V2629" s="204" t="s">
        <v>2276</v>
      </c>
      <c r="W2629" s="204" t="s">
        <v>2276</v>
      </c>
      <c r="X2629" s="21">
        <f>T2629/'Record info'!K$1116</f>
        <v>6.6876212131344879E-3</v>
      </c>
      <c r="Y2629" s="204" t="s">
        <v>2276</v>
      </c>
      <c r="Z2629" s="204" t="s">
        <v>35</v>
      </c>
      <c r="AA2629" s="204" t="s">
        <v>38</v>
      </c>
      <c r="AB2629" s="204" t="s">
        <v>64</v>
      </c>
      <c r="AC2629" s="204" t="s">
        <v>7628</v>
      </c>
      <c r="AD2629" s="204"/>
    </row>
    <row r="2630" spans="1:30" ht="30" customHeight="1">
      <c r="A2630" s="19" t="s">
        <v>7291</v>
      </c>
      <c r="B2630" s="19" t="s">
        <v>7372</v>
      </c>
      <c r="C2630" s="204" t="s">
        <v>24</v>
      </c>
      <c r="D2630" s="204" t="s">
        <v>1242</v>
      </c>
      <c r="E2630" s="204" t="s">
        <v>3209</v>
      </c>
      <c r="F2630" s="152" t="s">
        <v>2276</v>
      </c>
      <c r="G2630" s="152" t="s">
        <v>2276</v>
      </c>
      <c r="H2630" s="204" t="s">
        <v>523</v>
      </c>
      <c r="I2630" s="204">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1">
        <f>4000*0.493</f>
        <v>1972</v>
      </c>
      <c r="U2630" s="204" t="s">
        <v>2276</v>
      </c>
      <c r="V2630" s="204" t="s">
        <v>2276</v>
      </c>
      <c r="W2630" s="204" t="s">
        <v>2276</v>
      </c>
      <c r="X2630" s="21">
        <f>T2630/'Record info'!K$1117</f>
        <v>6.1987237921604377E-2</v>
      </c>
      <c r="Y2630" s="204" t="s">
        <v>2276</v>
      </c>
      <c r="Z2630" s="204" t="s">
        <v>35</v>
      </c>
      <c r="AA2630" s="204" t="s">
        <v>38</v>
      </c>
      <c r="AB2630" s="204" t="s">
        <v>64</v>
      </c>
      <c r="AC2630" s="204" t="s">
        <v>7628</v>
      </c>
      <c r="AD2630" s="204"/>
    </row>
    <row r="2631" spans="1:30" ht="30" customHeight="1">
      <c r="A2631" s="19" t="s">
        <v>7292</v>
      </c>
      <c r="B2631" s="19" t="s">
        <v>7373</v>
      </c>
      <c r="C2631" s="204" t="s">
        <v>24</v>
      </c>
      <c r="D2631" s="204" t="s">
        <v>1242</v>
      </c>
      <c r="E2631" s="204" t="s">
        <v>3209</v>
      </c>
      <c r="F2631" s="152" t="s">
        <v>2276</v>
      </c>
      <c r="G2631" s="152" t="s">
        <v>2276</v>
      </c>
      <c r="H2631" s="204" t="s">
        <v>523</v>
      </c>
      <c r="I2631" s="204">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1">
        <f>4000*0.375</f>
        <v>1500</v>
      </c>
      <c r="U2631" s="204" t="s">
        <v>2276</v>
      </c>
      <c r="V2631" s="204" t="s">
        <v>2276</v>
      </c>
      <c r="W2631" s="204" t="s">
        <v>2276</v>
      </c>
      <c r="X2631" s="21">
        <f>T2631/'Record info'!K$1118</f>
        <v>0.12487512487512488</v>
      </c>
      <c r="Y2631" s="204" t="s">
        <v>2276</v>
      </c>
      <c r="Z2631" s="204" t="s">
        <v>35</v>
      </c>
      <c r="AA2631" s="204" t="s">
        <v>38</v>
      </c>
      <c r="AB2631" s="204" t="s">
        <v>64</v>
      </c>
      <c r="AC2631" s="204" t="s">
        <v>7628</v>
      </c>
      <c r="AD2631" s="204"/>
    </row>
    <row r="2632" spans="1:30" ht="30" customHeight="1">
      <c r="A2632" s="19" t="s">
        <v>7293</v>
      </c>
      <c r="B2632" s="19" t="s">
        <v>7374</v>
      </c>
      <c r="C2632" s="204" t="s">
        <v>24</v>
      </c>
      <c r="D2632" s="204" t="s">
        <v>1242</v>
      </c>
      <c r="E2632" s="204" t="s">
        <v>3209</v>
      </c>
      <c r="F2632" s="152" t="s">
        <v>2276</v>
      </c>
      <c r="G2632" s="152" t="s">
        <v>2276</v>
      </c>
      <c r="H2632" s="204" t="s">
        <v>523</v>
      </c>
      <c r="I2632" s="204">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1">
        <f>4000*0.058</f>
        <v>232</v>
      </c>
      <c r="U2632" s="204" t="s">
        <v>2276</v>
      </c>
      <c r="V2632" s="204" t="s">
        <v>2276</v>
      </c>
      <c r="W2632" s="204" t="s">
        <v>2276</v>
      </c>
      <c r="X2632" s="21">
        <f>T2632/'Record info'!K$1119</f>
        <v>4.0394894921038423E-3</v>
      </c>
      <c r="Y2632" s="204" t="s">
        <v>2276</v>
      </c>
      <c r="Z2632" s="204" t="s">
        <v>35</v>
      </c>
      <c r="AA2632" s="204" t="s">
        <v>38</v>
      </c>
      <c r="AB2632" s="204" t="s">
        <v>64</v>
      </c>
      <c r="AC2632" s="204" t="s">
        <v>7628</v>
      </c>
      <c r="AD2632" s="204"/>
    </row>
    <row r="2633" spans="1:30" ht="30" customHeight="1">
      <c r="A2633" s="19" t="s">
        <v>7289</v>
      </c>
      <c r="B2633" s="19" t="s">
        <v>7375</v>
      </c>
      <c r="C2633" s="204" t="s">
        <v>24</v>
      </c>
      <c r="D2633" s="204" t="s">
        <v>1242</v>
      </c>
      <c r="E2633" s="204" t="s">
        <v>3209</v>
      </c>
      <c r="F2633" s="152" t="s">
        <v>2276</v>
      </c>
      <c r="G2633" s="152" t="s">
        <v>2276</v>
      </c>
      <c r="H2633" s="204" t="s">
        <v>523</v>
      </c>
      <c r="I2633" s="204">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1">
        <f>4061*0.068</f>
        <v>276.14800000000002</v>
      </c>
      <c r="U2633" s="204" t="s">
        <v>2276</v>
      </c>
      <c r="V2633" s="204" t="s">
        <v>2276</v>
      </c>
      <c r="W2633" s="204" t="s">
        <v>2276</v>
      </c>
      <c r="X2633" s="21">
        <f>T2633/'Record info'!K$1115</f>
        <v>1.0149514848573949E-2</v>
      </c>
      <c r="Y2633" s="204" t="s">
        <v>2276</v>
      </c>
      <c r="Z2633" s="204" t="s">
        <v>35</v>
      </c>
      <c r="AA2633" s="204" t="s">
        <v>38</v>
      </c>
      <c r="AB2633" s="204" t="s">
        <v>64</v>
      </c>
      <c r="AC2633" s="204" t="s">
        <v>7628</v>
      </c>
      <c r="AD2633" s="204"/>
    </row>
    <row r="2634" spans="1:30" ht="30" customHeight="1">
      <c r="A2634" s="19" t="s">
        <v>7290</v>
      </c>
      <c r="B2634" s="19" t="s">
        <v>7376</v>
      </c>
      <c r="C2634" s="204" t="s">
        <v>24</v>
      </c>
      <c r="D2634" s="204" t="s">
        <v>1242</v>
      </c>
      <c r="E2634" s="204" t="s">
        <v>3209</v>
      </c>
      <c r="F2634" s="152" t="s">
        <v>2276</v>
      </c>
      <c r="G2634" s="152" t="s">
        <v>2276</v>
      </c>
      <c r="H2634" s="204" t="s">
        <v>523</v>
      </c>
      <c r="I2634" s="204">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1">
        <f>4061*0.05</f>
        <v>203.05</v>
      </c>
      <c r="U2634" s="204" t="s">
        <v>2276</v>
      </c>
      <c r="V2634" s="204" t="s">
        <v>2276</v>
      </c>
      <c r="W2634" s="204" t="s">
        <v>2276</v>
      </c>
      <c r="X2634" s="21">
        <f>T2634/'Record info'!K$1116</f>
        <v>6.7896074366347895E-3</v>
      </c>
      <c r="Y2634" s="204" t="s">
        <v>2276</v>
      </c>
      <c r="Z2634" s="204" t="s">
        <v>35</v>
      </c>
      <c r="AA2634" s="204" t="s">
        <v>38</v>
      </c>
      <c r="AB2634" s="204" t="s">
        <v>64</v>
      </c>
      <c r="AC2634" s="204" t="s">
        <v>7628</v>
      </c>
      <c r="AD2634" s="204"/>
    </row>
    <row r="2635" spans="1:30" ht="30" customHeight="1">
      <c r="A2635" s="19" t="s">
        <v>7291</v>
      </c>
      <c r="B2635" s="19" t="s">
        <v>7377</v>
      </c>
      <c r="C2635" s="204" t="s">
        <v>24</v>
      </c>
      <c r="D2635" s="204" t="s">
        <v>1242</v>
      </c>
      <c r="E2635" s="204" t="s">
        <v>3209</v>
      </c>
      <c r="F2635" s="152" t="s">
        <v>2276</v>
      </c>
      <c r="G2635" s="152" t="s">
        <v>2276</v>
      </c>
      <c r="H2635" s="204" t="s">
        <v>523</v>
      </c>
      <c r="I2635" s="204">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4061*0.493</f>
        <v>2002.0729999999999</v>
      </c>
      <c r="U2635" s="204" t="s">
        <v>2276</v>
      </c>
      <c r="V2635" s="204" t="s">
        <v>2276</v>
      </c>
      <c r="W2635" s="204" t="s">
        <v>2276</v>
      </c>
      <c r="X2635" s="21">
        <f>T2635/'Record info'!K$1117</f>
        <v>6.2932543299908841E-2</v>
      </c>
      <c r="Y2635" s="204" t="s">
        <v>2276</v>
      </c>
      <c r="Z2635" s="204" t="s">
        <v>35</v>
      </c>
      <c r="AA2635" s="204" t="s">
        <v>38</v>
      </c>
      <c r="AB2635" s="204" t="s">
        <v>64</v>
      </c>
      <c r="AC2635" s="204" t="s">
        <v>7628</v>
      </c>
      <c r="AD2635" s="204"/>
    </row>
    <row r="2636" spans="1:30" ht="30" customHeight="1">
      <c r="A2636" s="19" t="s">
        <v>7292</v>
      </c>
      <c r="B2636" s="19" t="s">
        <v>7378</v>
      </c>
      <c r="C2636" s="204" t="s">
        <v>24</v>
      </c>
      <c r="D2636" s="204" t="s">
        <v>1242</v>
      </c>
      <c r="E2636" s="204" t="s">
        <v>3209</v>
      </c>
      <c r="F2636" s="152" t="s">
        <v>2276</v>
      </c>
      <c r="G2636" s="152" t="s">
        <v>2276</v>
      </c>
      <c r="H2636" s="204" t="s">
        <v>523</v>
      </c>
      <c r="I2636" s="204">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4061*0.375</f>
        <v>1522.875</v>
      </c>
      <c r="U2636" s="204" t="s">
        <v>2276</v>
      </c>
      <c r="V2636" s="204" t="s">
        <v>2276</v>
      </c>
      <c r="W2636" s="204" t="s">
        <v>2276</v>
      </c>
      <c r="X2636" s="21">
        <f>T2636/'Record info'!K$1118</f>
        <v>0.12677947052947053</v>
      </c>
      <c r="Y2636" s="204" t="s">
        <v>2276</v>
      </c>
      <c r="Z2636" s="204" t="s">
        <v>35</v>
      </c>
      <c r="AA2636" s="204" t="s">
        <v>38</v>
      </c>
      <c r="AB2636" s="204" t="s">
        <v>64</v>
      </c>
      <c r="AC2636" s="204" t="s">
        <v>7628</v>
      </c>
      <c r="AD2636" s="204"/>
    </row>
    <row r="2637" spans="1:30" ht="30" customHeight="1">
      <c r="A2637" s="19" t="s">
        <v>7293</v>
      </c>
      <c r="B2637" s="19" t="s">
        <v>7379</v>
      </c>
      <c r="C2637" s="204" t="s">
        <v>24</v>
      </c>
      <c r="D2637" s="204" t="s">
        <v>1242</v>
      </c>
      <c r="E2637" s="204" t="s">
        <v>3209</v>
      </c>
      <c r="F2637" s="152" t="s">
        <v>2276</v>
      </c>
      <c r="G2637" s="152" t="s">
        <v>2276</v>
      </c>
      <c r="H2637" s="204" t="s">
        <v>523</v>
      </c>
      <c r="I2637" s="204">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4061*0.058</f>
        <v>235.53800000000001</v>
      </c>
      <c r="U2637" s="204" t="s">
        <v>2276</v>
      </c>
      <c r="V2637" s="204" t="s">
        <v>2276</v>
      </c>
      <c r="W2637" s="204" t="s">
        <v>2276</v>
      </c>
      <c r="X2637" s="21">
        <f>T2637/'Record info'!K$1119</f>
        <v>4.1010917068584262E-3</v>
      </c>
      <c r="Y2637" s="204" t="s">
        <v>2276</v>
      </c>
      <c r="Z2637" s="204" t="s">
        <v>35</v>
      </c>
      <c r="AA2637" s="204" t="s">
        <v>38</v>
      </c>
      <c r="AB2637" s="204" t="s">
        <v>64</v>
      </c>
      <c r="AC2637" s="204" t="s">
        <v>7628</v>
      </c>
      <c r="AD2637" s="204"/>
    </row>
    <row r="2638" spans="1:30" ht="33.5" customHeight="1">
      <c r="A2638" s="19" t="s">
        <v>7294</v>
      </c>
      <c r="B2638" s="19" t="s">
        <v>7414</v>
      </c>
      <c r="C2638" s="204" t="s">
        <v>24</v>
      </c>
      <c r="D2638" s="204" t="s">
        <v>1242</v>
      </c>
      <c r="E2638" s="204" t="s">
        <v>3209</v>
      </c>
      <c r="F2638" s="152" t="s">
        <v>2276</v>
      </c>
      <c r="G2638" s="152" t="s">
        <v>2276</v>
      </c>
      <c r="H2638" s="204" t="s">
        <v>523</v>
      </c>
      <c r="I2638" s="204">
        <v>2006</v>
      </c>
      <c r="J2638" s="204" t="s">
        <v>2276</v>
      </c>
      <c r="K2638" s="204" t="s">
        <v>2276</v>
      </c>
      <c r="L2638" s="204" t="s">
        <v>2276</v>
      </c>
      <c r="M2638" s="204" t="s">
        <v>2276</v>
      </c>
      <c r="N2638" s="204" t="s">
        <v>2276</v>
      </c>
      <c r="O2638" s="204" t="s">
        <v>2276</v>
      </c>
      <c r="P2638" s="204" t="s">
        <v>2276</v>
      </c>
      <c r="Q2638" s="204" t="s">
        <v>2276</v>
      </c>
      <c r="R2638" s="204" t="s">
        <v>2276</v>
      </c>
      <c r="S2638" s="204" t="s">
        <v>2276</v>
      </c>
      <c r="T2638" s="21">
        <f>200*0.027</f>
        <v>5.4</v>
      </c>
      <c r="U2638" s="204" t="s">
        <v>2276</v>
      </c>
      <c r="V2638" s="204" t="s">
        <v>2276</v>
      </c>
      <c r="W2638" s="204" t="s">
        <v>2276</v>
      </c>
      <c r="X2638" s="21">
        <f>T2638/'Record info'!K$1128</f>
        <v>1.9285714285714288E-3</v>
      </c>
      <c r="Y2638" s="204" t="s">
        <v>2276</v>
      </c>
      <c r="Z2638" s="38" t="s">
        <v>68</v>
      </c>
      <c r="AA2638" s="204" t="s">
        <v>86</v>
      </c>
      <c r="AB2638" s="203" t="s">
        <v>76</v>
      </c>
      <c r="AC2638" s="204"/>
      <c r="AD2638" s="204"/>
    </row>
    <row r="2639" spans="1:30" ht="33.5" customHeight="1">
      <c r="A2639" s="19" t="s">
        <v>7380</v>
      </c>
      <c r="B2639" s="19" t="s">
        <v>7415</v>
      </c>
      <c r="C2639" s="204" t="s">
        <v>24</v>
      </c>
      <c r="D2639" s="204" t="s">
        <v>1242</v>
      </c>
      <c r="E2639" s="204" t="s">
        <v>3209</v>
      </c>
      <c r="F2639" s="152" t="s">
        <v>2276</v>
      </c>
      <c r="G2639" s="152" t="s">
        <v>2276</v>
      </c>
      <c r="H2639" s="204" t="s">
        <v>523</v>
      </c>
      <c r="I2639" s="204">
        <v>2006</v>
      </c>
      <c r="J2639" s="204" t="s">
        <v>2276</v>
      </c>
      <c r="K2639" s="204" t="s">
        <v>2276</v>
      </c>
      <c r="L2639" s="204" t="s">
        <v>2276</v>
      </c>
      <c r="M2639" s="204" t="s">
        <v>2276</v>
      </c>
      <c r="N2639" s="204" t="s">
        <v>2276</v>
      </c>
      <c r="O2639" s="204" t="s">
        <v>2276</v>
      </c>
      <c r="P2639" s="204" t="s">
        <v>2276</v>
      </c>
      <c r="Q2639" s="204" t="s">
        <v>2276</v>
      </c>
      <c r="R2639" s="204" t="s">
        <v>2276</v>
      </c>
      <c r="S2639" s="204" t="s">
        <v>2276</v>
      </c>
      <c r="T2639" s="21">
        <f>200*0.041</f>
        <v>8.2000000000000011</v>
      </c>
      <c r="U2639" s="204" t="s">
        <v>2276</v>
      </c>
      <c r="V2639" s="204" t="s">
        <v>2276</v>
      </c>
      <c r="W2639" s="204" t="s">
        <v>2276</v>
      </c>
      <c r="X2639" s="21">
        <f>T2639/'Record info'!K$1129</f>
        <v>2.3328591749644384E-3</v>
      </c>
      <c r="Y2639" s="204" t="s">
        <v>2276</v>
      </c>
      <c r="Z2639" s="204" t="s">
        <v>68</v>
      </c>
      <c r="AA2639" s="204" t="s">
        <v>86</v>
      </c>
      <c r="AB2639" s="204" t="s">
        <v>76</v>
      </c>
      <c r="AC2639" s="204"/>
      <c r="AD2639" s="204"/>
    </row>
    <row r="2640" spans="1:30" ht="33.5" customHeight="1">
      <c r="A2640" s="19" t="s">
        <v>7381</v>
      </c>
      <c r="B2640" s="19" t="s">
        <v>7416</v>
      </c>
      <c r="C2640" s="204" t="s">
        <v>24</v>
      </c>
      <c r="D2640" s="204" t="s">
        <v>1242</v>
      </c>
      <c r="E2640" s="204" t="s">
        <v>3209</v>
      </c>
      <c r="F2640" s="152" t="s">
        <v>2276</v>
      </c>
      <c r="G2640" s="152" t="s">
        <v>2276</v>
      </c>
      <c r="H2640" s="204" t="s">
        <v>523</v>
      </c>
      <c r="I2640" s="204">
        <v>2006</v>
      </c>
      <c r="J2640" s="204" t="s">
        <v>2276</v>
      </c>
      <c r="K2640" s="204" t="s">
        <v>2276</v>
      </c>
      <c r="L2640" s="204" t="s">
        <v>2276</v>
      </c>
      <c r="M2640" s="204" t="s">
        <v>2276</v>
      </c>
      <c r="N2640" s="204" t="s">
        <v>2276</v>
      </c>
      <c r="O2640" s="204" t="s">
        <v>2276</v>
      </c>
      <c r="P2640" s="204" t="s">
        <v>2276</v>
      </c>
      <c r="Q2640" s="204" t="s">
        <v>2276</v>
      </c>
      <c r="R2640" s="204" t="s">
        <v>2276</v>
      </c>
      <c r="S2640" s="204" t="s">
        <v>2276</v>
      </c>
      <c r="T2640" s="21">
        <f>200*0.004</f>
        <v>0.8</v>
      </c>
      <c r="U2640" s="204" t="s">
        <v>2276</v>
      </c>
      <c r="V2640" s="204" t="s">
        <v>2276</v>
      </c>
      <c r="W2640" s="204" t="s">
        <v>2276</v>
      </c>
      <c r="X2640" s="21">
        <f>T2640/'Record info'!K$1130</f>
        <v>1.185712168371128E-4</v>
      </c>
      <c r="Y2640" s="204" t="s">
        <v>2276</v>
      </c>
      <c r="Z2640" s="204" t="s">
        <v>68</v>
      </c>
      <c r="AA2640" s="204" t="s">
        <v>86</v>
      </c>
      <c r="AB2640" s="204" t="s">
        <v>76</v>
      </c>
      <c r="AC2640" s="204"/>
      <c r="AD2640" s="204"/>
    </row>
    <row r="2641" spans="1:30" ht="33.5" customHeight="1">
      <c r="A2641" s="19" t="s">
        <v>7382</v>
      </c>
      <c r="B2641" s="19" t="s">
        <v>7417</v>
      </c>
      <c r="C2641" s="204" t="s">
        <v>24</v>
      </c>
      <c r="D2641" s="204" t="s">
        <v>1242</v>
      </c>
      <c r="E2641" s="204" t="s">
        <v>3209</v>
      </c>
      <c r="F2641" s="152" t="s">
        <v>2276</v>
      </c>
      <c r="G2641" s="152" t="s">
        <v>2276</v>
      </c>
      <c r="H2641" s="204" t="s">
        <v>523</v>
      </c>
      <c r="I2641" s="204">
        <v>2006</v>
      </c>
      <c r="J2641" s="204" t="s">
        <v>2276</v>
      </c>
      <c r="K2641" s="204" t="s">
        <v>2276</v>
      </c>
      <c r="L2641" s="204" t="s">
        <v>2276</v>
      </c>
      <c r="M2641" s="204" t="s">
        <v>2276</v>
      </c>
      <c r="N2641" s="204" t="s">
        <v>2276</v>
      </c>
      <c r="O2641" s="204" t="s">
        <v>2276</v>
      </c>
      <c r="P2641" s="204" t="s">
        <v>2276</v>
      </c>
      <c r="Q2641" s="204" t="s">
        <v>2276</v>
      </c>
      <c r="R2641" s="204" t="s">
        <v>2276</v>
      </c>
      <c r="S2641" s="204" t="s">
        <v>2276</v>
      </c>
      <c r="T2641" s="21">
        <f>200*0.004</f>
        <v>0.8</v>
      </c>
      <c r="U2641" s="204" t="s">
        <v>2276</v>
      </c>
      <c r="V2641" s="204" t="s">
        <v>2276</v>
      </c>
      <c r="W2641" s="204" t="s">
        <v>2276</v>
      </c>
      <c r="X2641" s="21">
        <f>T2641/'Record info'!K$1131</f>
        <v>1.5797788309636652E-4</v>
      </c>
      <c r="Y2641" s="204" t="s">
        <v>2276</v>
      </c>
      <c r="Z2641" s="204" t="s">
        <v>68</v>
      </c>
      <c r="AA2641" s="204" t="s">
        <v>86</v>
      </c>
      <c r="AB2641" s="204" t="s">
        <v>76</v>
      </c>
      <c r="AC2641" s="204"/>
      <c r="AD2641" s="204"/>
    </row>
    <row r="2642" spans="1:30" ht="33.5" customHeight="1">
      <c r="A2642" s="19" t="s">
        <v>7383</v>
      </c>
      <c r="B2642" s="19" t="s">
        <v>7418</v>
      </c>
      <c r="C2642" s="204" t="s">
        <v>24</v>
      </c>
      <c r="D2642" s="204" t="s">
        <v>1242</v>
      </c>
      <c r="E2642" s="204" t="s">
        <v>3209</v>
      </c>
      <c r="F2642" s="152" t="s">
        <v>2276</v>
      </c>
      <c r="G2642" s="152" t="s">
        <v>2276</v>
      </c>
      <c r="H2642" s="204" t="s">
        <v>524</v>
      </c>
      <c r="I2642" s="204">
        <v>2006</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f>T2642/'Record info'!K$1132</f>
        <v>0</v>
      </c>
      <c r="Y2642" s="204" t="s">
        <v>2276</v>
      </c>
      <c r="Z2642" s="204" t="s">
        <v>68</v>
      </c>
      <c r="AA2642" s="204" t="s">
        <v>86</v>
      </c>
      <c r="AB2642" s="204" t="s">
        <v>76</v>
      </c>
      <c r="AC2642" s="204"/>
      <c r="AD2642" s="204"/>
    </row>
    <row r="2643" spans="1:30" ht="33.5" customHeight="1">
      <c r="A2643" s="19" t="s">
        <v>7384</v>
      </c>
      <c r="B2643" s="19" t="s">
        <v>7419</v>
      </c>
      <c r="C2643" s="204" t="s">
        <v>24</v>
      </c>
      <c r="D2643" s="204" t="s">
        <v>1242</v>
      </c>
      <c r="E2643" s="204" t="s">
        <v>3209</v>
      </c>
      <c r="F2643" s="152" t="s">
        <v>2276</v>
      </c>
      <c r="G2643" s="152" t="s">
        <v>2276</v>
      </c>
      <c r="H2643" s="204" t="s">
        <v>524</v>
      </c>
      <c r="I2643" s="204">
        <v>2006</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f>T2643/'Record info'!K$1133</f>
        <v>0</v>
      </c>
      <c r="Y2643" s="204" t="s">
        <v>2276</v>
      </c>
      <c r="Z2643" s="204" t="s">
        <v>68</v>
      </c>
      <c r="AA2643" s="204" t="s">
        <v>86</v>
      </c>
      <c r="AB2643" s="204" t="s">
        <v>76</v>
      </c>
      <c r="AC2643" s="204"/>
      <c r="AD2643" s="204"/>
    </row>
    <row r="2644" spans="1:30" ht="33.5" customHeight="1">
      <c r="A2644" s="19" t="s">
        <v>7385</v>
      </c>
      <c r="B2644" s="19" t="s">
        <v>7420</v>
      </c>
      <c r="C2644" s="204" t="s">
        <v>24</v>
      </c>
      <c r="D2644" s="204" t="s">
        <v>1242</v>
      </c>
      <c r="E2644" s="204" t="s">
        <v>3209</v>
      </c>
      <c r="F2644" s="152" t="s">
        <v>2276</v>
      </c>
      <c r="G2644" s="152" t="s">
        <v>2276</v>
      </c>
      <c r="H2644" s="204" t="s">
        <v>524</v>
      </c>
      <c r="I2644" s="204">
        <v>2006</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f>T2644/'Record info'!K$1134</f>
        <v>0</v>
      </c>
      <c r="Y2644" s="204" t="s">
        <v>2276</v>
      </c>
      <c r="Z2644" s="204" t="s">
        <v>68</v>
      </c>
      <c r="AA2644" s="204" t="s">
        <v>86</v>
      </c>
      <c r="AB2644" s="204" t="s">
        <v>76</v>
      </c>
      <c r="AC2644" s="204"/>
      <c r="AD2644" s="204"/>
    </row>
    <row r="2645" spans="1:30" ht="33.5" customHeight="1">
      <c r="A2645" s="19" t="s">
        <v>7386</v>
      </c>
      <c r="B2645" s="19" t="s">
        <v>7421</v>
      </c>
      <c r="C2645" s="204" t="s">
        <v>24</v>
      </c>
      <c r="D2645" s="204" t="s">
        <v>1242</v>
      </c>
      <c r="E2645" s="204" t="s">
        <v>3209</v>
      </c>
      <c r="F2645" s="152" t="s">
        <v>2276</v>
      </c>
      <c r="G2645" s="152" t="s">
        <v>2276</v>
      </c>
      <c r="H2645" s="204" t="s">
        <v>523</v>
      </c>
      <c r="I2645" s="204">
        <v>2006</v>
      </c>
      <c r="J2645" s="204" t="s">
        <v>2276</v>
      </c>
      <c r="K2645" s="204" t="s">
        <v>2276</v>
      </c>
      <c r="L2645" s="204" t="s">
        <v>2276</v>
      </c>
      <c r="M2645" s="204" t="s">
        <v>2276</v>
      </c>
      <c r="N2645" s="204" t="s">
        <v>2276</v>
      </c>
      <c r="O2645" s="204" t="s">
        <v>2276</v>
      </c>
      <c r="P2645" s="204" t="s">
        <v>2276</v>
      </c>
      <c r="Q2645" s="204" t="s">
        <v>2276</v>
      </c>
      <c r="R2645" s="204" t="s">
        <v>2276</v>
      </c>
      <c r="S2645" s="204" t="s">
        <v>2276</v>
      </c>
      <c r="T2645" s="21">
        <f>200*0.035</f>
        <v>7.0000000000000009</v>
      </c>
      <c r="U2645" s="204" t="s">
        <v>2276</v>
      </c>
      <c r="V2645" s="204" t="s">
        <v>2276</v>
      </c>
      <c r="W2645" s="204" t="s">
        <v>2276</v>
      </c>
      <c r="X2645" s="21">
        <f>T2645/'Record info'!K$1135</f>
        <v>1.1541632316570487E-3</v>
      </c>
      <c r="Y2645" s="204" t="s">
        <v>2276</v>
      </c>
      <c r="Z2645" s="204" t="s">
        <v>68</v>
      </c>
      <c r="AA2645" s="204" t="s">
        <v>86</v>
      </c>
      <c r="AB2645" s="204" t="s">
        <v>76</v>
      </c>
      <c r="AC2645" s="204"/>
      <c r="AD2645" s="204"/>
    </row>
    <row r="2646" spans="1:30" ht="33.5" customHeight="1">
      <c r="A2646" s="19" t="s">
        <v>7387</v>
      </c>
      <c r="B2646" s="19" t="s">
        <v>7422</v>
      </c>
      <c r="C2646" s="204" t="s">
        <v>24</v>
      </c>
      <c r="D2646" s="204" t="s">
        <v>1242</v>
      </c>
      <c r="E2646" s="204" t="s">
        <v>3209</v>
      </c>
      <c r="F2646" s="152" t="s">
        <v>2276</v>
      </c>
      <c r="G2646" s="152" t="s">
        <v>2276</v>
      </c>
      <c r="H2646" s="204" t="s">
        <v>523</v>
      </c>
      <c r="I2646" s="204">
        <v>2006</v>
      </c>
      <c r="J2646" s="204" t="s">
        <v>2276</v>
      </c>
      <c r="K2646" s="204" t="s">
        <v>2276</v>
      </c>
      <c r="L2646" s="204" t="s">
        <v>2276</v>
      </c>
      <c r="M2646" s="204" t="s">
        <v>2276</v>
      </c>
      <c r="N2646" s="204" t="s">
        <v>2276</v>
      </c>
      <c r="O2646" s="204" t="s">
        <v>2276</v>
      </c>
      <c r="P2646" s="204" t="s">
        <v>2276</v>
      </c>
      <c r="Q2646" s="204" t="s">
        <v>2276</v>
      </c>
      <c r="R2646" s="204" t="s">
        <v>2276</v>
      </c>
      <c r="S2646" s="204" t="s">
        <v>2276</v>
      </c>
      <c r="T2646" s="21">
        <f>200*0.079</f>
        <v>15.8</v>
      </c>
      <c r="U2646" s="204" t="s">
        <v>2276</v>
      </c>
      <c r="V2646" s="204" t="s">
        <v>2276</v>
      </c>
      <c r="W2646" s="204" t="s">
        <v>2276</v>
      </c>
      <c r="X2646" s="21">
        <f>T2646/'Record info'!K$1136</f>
        <v>2.3670411985018728E-3</v>
      </c>
      <c r="Y2646" s="204" t="s">
        <v>2276</v>
      </c>
      <c r="Z2646" s="204" t="s">
        <v>68</v>
      </c>
      <c r="AA2646" s="204" t="s">
        <v>86</v>
      </c>
      <c r="AB2646" s="204" t="s">
        <v>76</v>
      </c>
      <c r="AC2646" s="204"/>
      <c r="AD2646" s="204"/>
    </row>
    <row r="2647" spans="1:30" ht="33.5" customHeight="1">
      <c r="A2647" s="19" t="s">
        <v>7388</v>
      </c>
      <c r="B2647" s="19" t="s">
        <v>7423</v>
      </c>
      <c r="C2647" s="204" t="s">
        <v>24</v>
      </c>
      <c r="D2647" s="204" t="s">
        <v>1242</v>
      </c>
      <c r="E2647" s="204" t="s">
        <v>3209</v>
      </c>
      <c r="F2647" s="152" t="s">
        <v>2276</v>
      </c>
      <c r="G2647" s="152" t="s">
        <v>2276</v>
      </c>
      <c r="H2647" s="204" t="s">
        <v>523</v>
      </c>
      <c r="I2647" s="204">
        <v>2006</v>
      </c>
      <c r="J2647" s="204" t="s">
        <v>2276</v>
      </c>
      <c r="K2647" s="204" t="s">
        <v>2276</v>
      </c>
      <c r="L2647" s="204" t="s">
        <v>2276</v>
      </c>
      <c r="M2647" s="204" t="s">
        <v>2276</v>
      </c>
      <c r="N2647" s="204" t="s">
        <v>2276</v>
      </c>
      <c r="O2647" s="204" t="s">
        <v>2276</v>
      </c>
      <c r="P2647" s="204" t="s">
        <v>2276</v>
      </c>
      <c r="Q2647" s="204" t="s">
        <v>2276</v>
      </c>
      <c r="R2647" s="204" t="s">
        <v>2276</v>
      </c>
      <c r="S2647" s="204" t="s">
        <v>2276</v>
      </c>
      <c r="T2647" s="21">
        <f>200*0.132</f>
        <v>26.400000000000002</v>
      </c>
      <c r="U2647" s="204" t="s">
        <v>2276</v>
      </c>
      <c r="V2647" s="204" t="s">
        <v>2276</v>
      </c>
      <c r="W2647" s="204" t="s">
        <v>2276</v>
      </c>
      <c r="X2647" s="21">
        <f>T2647/'Record info'!K$1137</f>
        <v>4.7843421529539694E-3</v>
      </c>
      <c r="Y2647" s="204" t="s">
        <v>2276</v>
      </c>
      <c r="Z2647" s="204" t="s">
        <v>68</v>
      </c>
      <c r="AA2647" s="204" t="s">
        <v>86</v>
      </c>
      <c r="AB2647" s="204" t="s">
        <v>76</v>
      </c>
      <c r="AC2647" s="204"/>
      <c r="AD2647" s="204"/>
    </row>
    <row r="2648" spans="1:30" ht="33.5" customHeight="1">
      <c r="A2648" s="19" t="s">
        <v>7389</v>
      </c>
      <c r="B2648" s="19" t="s">
        <v>7424</v>
      </c>
      <c r="C2648" s="204" t="s">
        <v>24</v>
      </c>
      <c r="D2648" s="204" t="s">
        <v>1242</v>
      </c>
      <c r="E2648" s="204" t="s">
        <v>3209</v>
      </c>
      <c r="F2648" s="152" t="s">
        <v>2276</v>
      </c>
      <c r="G2648" s="152" t="s">
        <v>2276</v>
      </c>
      <c r="H2648" s="204" t="s">
        <v>523</v>
      </c>
      <c r="I2648" s="204">
        <v>2006</v>
      </c>
      <c r="J2648" s="204" t="s">
        <v>2276</v>
      </c>
      <c r="K2648" s="204" t="s">
        <v>2276</v>
      </c>
      <c r="L2648" s="204" t="s">
        <v>2276</v>
      </c>
      <c r="M2648" s="204" t="s">
        <v>2276</v>
      </c>
      <c r="N2648" s="204" t="s">
        <v>2276</v>
      </c>
      <c r="O2648" s="204" t="s">
        <v>2276</v>
      </c>
      <c r="P2648" s="204" t="s">
        <v>2276</v>
      </c>
      <c r="Q2648" s="204" t="s">
        <v>2276</v>
      </c>
      <c r="R2648" s="204" t="s">
        <v>2276</v>
      </c>
      <c r="S2648" s="204" t="s">
        <v>2276</v>
      </c>
      <c r="T2648" s="21">
        <f>200*0.057</f>
        <v>11.4</v>
      </c>
      <c r="U2648" s="204" t="s">
        <v>2276</v>
      </c>
      <c r="V2648" s="204" t="s">
        <v>2276</v>
      </c>
      <c r="W2648" s="204" t="s">
        <v>2276</v>
      </c>
      <c r="X2648" s="21">
        <f>T2648/'Record info'!K$1138</f>
        <v>2.8882695718267038E-3</v>
      </c>
      <c r="Y2648" s="204" t="s">
        <v>2276</v>
      </c>
      <c r="Z2648" s="204" t="s">
        <v>68</v>
      </c>
      <c r="AA2648" s="204" t="s">
        <v>86</v>
      </c>
      <c r="AB2648" s="204" t="s">
        <v>76</v>
      </c>
      <c r="AC2648" s="204"/>
      <c r="AD2648" s="204"/>
    </row>
    <row r="2649" spans="1:30" ht="33.5" customHeight="1">
      <c r="A2649" s="19" t="s">
        <v>7390</v>
      </c>
      <c r="B2649" s="19" t="s">
        <v>7425</v>
      </c>
      <c r="C2649" s="204" t="s">
        <v>24</v>
      </c>
      <c r="D2649" s="204" t="s">
        <v>1242</v>
      </c>
      <c r="E2649" s="204" t="s">
        <v>3209</v>
      </c>
      <c r="F2649" s="152" t="s">
        <v>2276</v>
      </c>
      <c r="G2649" s="152" t="s">
        <v>2276</v>
      </c>
      <c r="H2649" s="204" t="s">
        <v>523</v>
      </c>
      <c r="I2649" s="204">
        <v>2006</v>
      </c>
      <c r="J2649" s="204" t="s">
        <v>2276</v>
      </c>
      <c r="K2649" s="204" t="s">
        <v>2276</v>
      </c>
      <c r="L2649" s="204" t="s">
        <v>2276</v>
      </c>
      <c r="M2649" s="204" t="s">
        <v>2276</v>
      </c>
      <c r="N2649" s="204" t="s">
        <v>2276</v>
      </c>
      <c r="O2649" s="204" t="s">
        <v>2276</v>
      </c>
      <c r="P2649" s="204" t="s">
        <v>2276</v>
      </c>
      <c r="Q2649" s="204" t="s">
        <v>2276</v>
      </c>
      <c r="R2649" s="204" t="s">
        <v>2276</v>
      </c>
      <c r="S2649" s="204" t="s">
        <v>2276</v>
      </c>
      <c r="T2649" s="21">
        <f>200*0.024</f>
        <v>4.8</v>
      </c>
      <c r="U2649" s="204" t="s">
        <v>2276</v>
      </c>
      <c r="V2649" s="204" t="s">
        <v>2276</v>
      </c>
      <c r="W2649" s="204" t="s">
        <v>2276</v>
      </c>
      <c r="X2649" s="21">
        <f>T2649/'Record info'!K$1139</f>
        <v>1.7094017094017094E-3</v>
      </c>
      <c r="Y2649" s="204" t="s">
        <v>2276</v>
      </c>
      <c r="Z2649" s="204" t="s">
        <v>68</v>
      </c>
      <c r="AA2649" s="204" t="s">
        <v>86</v>
      </c>
      <c r="AB2649" s="204" t="s">
        <v>76</v>
      </c>
      <c r="AC2649" s="204"/>
      <c r="AD2649" s="204"/>
    </row>
    <row r="2650" spans="1:30" ht="33.5" customHeight="1">
      <c r="A2650" s="19" t="s">
        <v>7391</v>
      </c>
      <c r="B2650" s="19" t="s">
        <v>7426</v>
      </c>
      <c r="C2650" s="204" t="s">
        <v>24</v>
      </c>
      <c r="D2650" s="204" t="s">
        <v>1242</v>
      </c>
      <c r="E2650" s="204" t="s">
        <v>3209</v>
      </c>
      <c r="F2650" s="152" t="s">
        <v>2276</v>
      </c>
      <c r="G2650" s="152" t="s">
        <v>2276</v>
      </c>
      <c r="H2650" s="204" t="s">
        <v>523</v>
      </c>
      <c r="I2650" s="204">
        <v>2006</v>
      </c>
      <c r="J2650" s="204" t="s">
        <v>2276</v>
      </c>
      <c r="K2650" s="204" t="s">
        <v>2276</v>
      </c>
      <c r="L2650" s="204" t="s">
        <v>2276</v>
      </c>
      <c r="M2650" s="204" t="s">
        <v>2276</v>
      </c>
      <c r="N2650" s="204" t="s">
        <v>2276</v>
      </c>
      <c r="O2650" s="204" t="s">
        <v>2276</v>
      </c>
      <c r="P2650" s="204" t="s">
        <v>2276</v>
      </c>
      <c r="Q2650" s="204" t="s">
        <v>2276</v>
      </c>
      <c r="R2650" s="204" t="s">
        <v>2276</v>
      </c>
      <c r="S2650" s="204" t="s">
        <v>2276</v>
      </c>
      <c r="T2650" s="21">
        <f>200*0.072</f>
        <v>14.399999999999999</v>
      </c>
      <c r="U2650" s="204" t="s">
        <v>2276</v>
      </c>
      <c r="V2650" s="204" t="s">
        <v>2276</v>
      </c>
      <c r="W2650" s="204" t="s">
        <v>2276</v>
      </c>
      <c r="X2650" s="21">
        <f>T2650/'Record info'!K$1140</f>
        <v>2.8759736369083281E-3</v>
      </c>
      <c r="Y2650" s="204" t="s">
        <v>2276</v>
      </c>
      <c r="Z2650" s="204" t="s">
        <v>68</v>
      </c>
      <c r="AA2650" s="204" t="s">
        <v>86</v>
      </c>
      <c r="AB2650" s="204" t="s">
        <v>76</v>
      </c>
      <c r="AC2650" s="204"/>
      <c r="AD2650" s="204"/>
    </row>
    <row r="2651" spans="1:30" ht="33.5" customHeight="1">
      <c r="A2651" s="19" t="s">
        <v>7392</v>
      </c>
      <c r="B2651" s="19" t="s">
        <v>7427</v>
      </c>
      <c r="C2651" s="204" t="s">
        <v>24</v>
      </c>
      <c r="D2651" s="204" t="s">
        <v>1242</v>
      </c>
      <c r="E2651" s="204" t="s">
        <v>3209</v>
      </c>
      <c r="F2651" s="152" t="s">
        <v>2276</v>
      </c>
      <c r="G2651" s="152" t="s">
        <v>2276</v>
      </c>
      <c r="H2651" s="204" t="s">
        <v>523</v>
      </c>
      <c r="I2651" s="204">
        <v>2006</v>
      </c>
      <c r="J2651" s="204" t="s">
        <v>2276</v>
      </c>
      <c r="K2651" s="204" t="s">
        <v>2276</v>
      </c>
      <c r="L2651" s="204" t="s">
        <v>2276</v>
      </c>
      <c r="M2651" s="204" t="s">
        <v>2276</v>
      </c>
      <c r="N2651" s="204" t="s">
        <v>2276</v>
      </c>
      <c r="O2651" s="204" t="s">
        <v>2276</v>
      </c>
      <c r="P2651" s="204" t="s">
        <v>2276</v>
      </c>
      <c r="Q2651" s="204" t="s">
        <v>2276</v>
      </c>
      <c r="R2651" s="204" t="s">
        <v>2276</v>
      </c>
      <c r="S2651" s="204" t="s">
        <v>2276</v>
      </c>
      <c r="T2651" s="21">
        <f>200*0.068</f>
        <v>13.600000000000001</v>
      </c>
      <c r="U2651" s="204" t="s">
        <v>2276</v>
      </c>
      <c r="V2651" s="204" t="s">
        <v>2276</v>
      </c>
      <c r="W2651" s="204" t="s">
        <v>2276</v>
      </c>
      <c r="X2651" s="21">
        <f>T2651/'Record info'!K$1141</f>
        <v>1.1584327086882455E-2</v>
      </c>
      <c r="Y2651" s="204" t="s">
        <v>2276</v>
      </c>
      <c r="Z2651" s="204" t="s">
        <v>68</v>
      </c>
      <c r="AA2651" s="204" t="s">
        <v>86</v>
      </c>
      <c r="AB2651" s="204" t="s">
        <v>76</v>
      </c>
      <c r="AC2651" s="204"/>
      <c r="AD2651" s="204"/>
    </row>
    <row r="2652" spans="1:30" ht="33.5" customHeight="1">
      <c r="A2652" s="19" t="s">
        <v>7393</v>
      </c>
      <c r="B2652" s="19" t="s">
        <v>7428</v>
      </c>
      <c r="C2652" s="204" t="s">
        <v>24</v>
      </c>
      <c r="D2652" s="204" t="s">
        <v>1242</v>
      </c>
      <c r="E2652" s="204" t="s">
        <v>3209</v>
      </c>
      <c r="F2652" s="152" t="s">
        <v>2276</v>
      </c>
      <c r="G2652" s="152" t="s">
        <v>2276</v>
      </c>
      <c r="H2652" s="204" t="s">
        <v>523</v>
      </c>
      <c r="I2652" s="204">
        <v>2006</v>
      </c>
      <c r="J2652" s="204" t="s">
        <v>2276</v>
      </c>
      <c r="K2652" s="204" t="s">
        <v>2276</v>
      </c>
      <c r="L2652" s="204" t="s">
        <v>2276</v>
      </c>
      <c r="M2652" s="204" t="s">
        <v>2276</v>
      </c>
      <c r="N2652" s="204" t="s">
        <v>2276</v>
      </c>
      <c r="O2652" s="204" t="s">
        <v>2276</v>
      </c>
      <c r="P2652" s="204" t="s">
        <v>2276</v>
      </c>
      <c r="Q2652" s="204" t="s">
        <v>2276</v>
      </c>
      <c r="R2652" s="204" t="s">
        <v>2276</v>
      </c>
      <c r="S2652" s="204" t="s">
        <v>2276</v>
      </c>
      <c r="T2652" s="21">
        <f>200*0.075</f>
        <v>15</v>
      </c>
      <c r="U2652" s="204" t="s">
        <v>2276</v>
      </c>
      <c r="V2652" s="204" t="s">
        <v>2276</v>
      </c>
      <c r="W2652" s="204" t="s">
        <v>2276</v>
      </c>
      <c r="X2652" s="21">
        <f>T2652/'Record info'!K$1142</f>
        <v>3.4658040665434381E-3</v>
      </c>
      <c r="Y2652" s="204" t="s">
        <v>2276</v>
      </c>
      <c r="Z2652" s="204" t="s">
        <v>68</v>
      </c>
      <c r="AA2652" s="204" t="s">
        <v>86</v>
      </c>
      <c r="AB2652" s="204" t="s">
        <v>76</v>
      </c>
      <c r="AC2652" s="204"/>
      <c r="AD2652" s="204"/>
    </row>
    <row r="2653" spans="1:30" ht="33.5" customHeight="1">
      <c r="A2653" s="19" t="s">
        <v>7394</v>
      </c>
      <c r="B2653" s="19" t="s">
        <v>7429</v>
      </c>
      <c r="C2653" s="204" t="s">
        <v>24</v>
      </c>
      <c r="D2653" s="204" t="s">
        <v>1242</v>
      </c>
      <c r="E2653" s="204" t="s">
        <v>3209</v>
      </c>
      <c r="F2653" s="152" t="s">
        <v>2276</v>
      </c>
      <c r="G2653" s="152" t="s">
        <v>2276</v>
      </c>
      <c r="H2653" s="204" t="s">
        <v>523</v>
      </c>
      <c r="I2653" s="204">
        <v>2006</v>
      </c>
      <c r="J2653" s="204" t="s">
        <v>2276</v>
      </c>
      <c r="K2653" s="204" t="s">
        <v>2276</v>
      </c>
      <c r="L2653" s="204" t="s">
        <v>2276</v>
      </c>
      <c r="M2653" s="204" t="s">
        <v>2276</v>
      </c>
      <c r="N2653" s="204" t="s">
        <v>2276</v>
      </c>
      <c r="O2653" s="204" t="s">
        <v>2276</v>
      </c>
      <c r="P2653" s="204" t="s">
        <v>2276</v>
      </c>
      <c r="Q2653" s="204" t="s">
        <v>2276</v>
      </c>
      <c r="R2653" s="204" t="s">
        <v>2276</v>
      </c>
      <c r="S2653" s="204" t="s">
        <v>2276</v>
      </c>
      <c r="T2653" s="21">
        <f>200*0.111</f>
        <v>22.2</v>
      </c>
      <c r="U2653" s="204" t="s">
        <v>2276</v>
      </c>
      <c r="V2653" s="204" t="s">
        <v>2276</v>
      </c>
      <c r="W2653" s="204" t="s">
        <v>2276</v>
      </c>
      <c r="X2653" s="21">
        <f>T2653/'Record info'!K$1143</f>
        <v>9.2693110647181619E-3</v>
      </c>
      <c r="Y2653" s="204" t="s">
        <v>2276</v>
      </c>
      <c r="Z2653" s="204" t="s">
        <v>68</v>
      </c>
      <c r="AA2653" s="204" t="s">
        <v>86</v>
      </c>
      <c r="AB2653" s="204" t="s">
        <v>76</v>
      </c>
      <c r="AC2653" s="204"/>
      <c r="AD2653" s="204"/>
    </row>
    <row r="2654" spans="1:30" ht="33.5" customHeight="1">
      <c r="A2654" s="19" t="s">
        <v>7395</v>
      </c>
      <c r="B2654" s="19" t="s">
        <v>7430</v>
      </c>
      <c r="C2654" s="204" t="s">
        <v>24</v>
      </c>
      <c r="D2654" s="204" t="s">
        <v>1242</v>
      </c>
      <c r="E2654" s="204" t="s">
        <v>3209</v>
      </c>
      <c r="F2654" s="152" t="s">
        <v>2276</v>
      </c>
      <c r="G2654" s="152" t="s">
        <v>2276</v>
      </c>
      <c r="H2654" s="204" t="s">
        <v>523</v>
      </c>
      <c r="I2654" s="204">
        <v>2006</v>
      </c>
      <c r="J2654" s="204" t="s">
        <v>2276</v>
      </c>
      <c r="K2654" s="204" t="s">
        <v>2276</v>
      </c>
      <c r="L2654" s="204" t="s">
        <v>2276</v>
      </c>
      <c r="M2654" s="204" t="s">
        <v>2276</v>
      </c>
      <c r="N2654" s="204" t="s">
        <v>2276</v>
      </c>
      <c r="O2654" s="204" t="s">
        <v>2276</v>
      </c>
      <c r="P2654" s="204" t="s">
        <v>2276</v>
      </c>
      <c r="Q2654" s="204" t="s">
        <v>2276</v>
      </c>
      <c r="R2654" s="204" t="s">
        <v>2276</v>
      </c>
      <c r="S2654" s="204" t="s">
        <v>2276</v>
      </c>
      <c r="T2654" s="21">
        <f>200*0.106</f>
        <v>21.2</v>
      </c>
      <c r="U2654" s="204" t="s">
        <v>2276</v>
      </c>
      <c r="V2654" s="204" t="s">
        <v>2276</v>
      </c>
      <c r="W2654" s="204" t="s">
        <v>2276</v>
      </c>
      <c r="X2654" s="21">
        <f>T2654/'Record info'!K$1144</f>
        <v>7.9311634867190416E-3</v>
      </c>
      <c r="Y2654" s="204" t="s">
        <v>2276</v>
      </c>
      <c r="Z2654" s="204" t="s">
        <v>68</v>
      </c>
      <c r="AA2654" s="204" t="s">
        <v>86</v>
      </c>
      <c r="AB2654" s="204" t="s">
        <v>76</v>
      </c>
      <c r="AC2654" s="204"/>
      <c r="AD2654" s="204"/>
    </row>
    <row r="2655" spans="1:30" ht="33.5" customHeight="1">
      <c r="A2655" s="19" t="s">
        <v>7396</v>
      </c>
      <c r="B2655" s="19" t="s">
        <v>7431</v>
      </c>
      <c r="C2655" s="204" t="s">
        <v>24</v>
      </c>
      <c r="D2655" s="204" t="s">
        <v>1242</v>
      </c>
      <c r="E2655" s="204" t="s">
        <v>3209</v>
      </c>
      <c r="F2655" s="152" t="s">
        <v>2276</v>
      </c>
      <c r="G2655" s="152" t="s">
        <v>2276</v>
      </c>
      <c r="H2655" s="204" t="s">
        <v>523</v>
      </c>
      <c r="I2655" s="204">
        <v>2006</v>
      </c>
      <c r="J2655" s="204" t="s">
        <v>2276</v>
      </c>
      <c r="K2655" s="204" t="s">
        <v>2276</v>
      </c>
      <c r="L2655" s="204" t="s">
        <v>2276</v>
      </c>
      <c r="M2655" s="204" t="s">
        <v>2276</v>
      </c>
      <c r="N2655" s="204" t="s">
        <v>2276</v>
      </c>
      <c r="O2655" s="204" t="s">
        <v>2276</v>
      </c>
      <c r="P2655" s="204" t="s">
        <v>2276</v>
      </c>
      <c r="Q2655" s="204" t="s">
        <v>2276</v>
      </c>
      <c r="R2655" s="204" t="s">
        <v>2276</v>
      </c>
      <c r="S2655" s="204" t="s">
        <v>2276</v>
      </c>
      <c r="T2655" s="21">
        <f>200*0.166</f>
        <v>33.200000000000003</v>
      </c>
      <c r="U2655" s="204" t="s">
        <v>2276</v>
      </c>
      <c r="V2655" s="204" t="s">
        <v>2276</v>
      </c>
      <c r="W2655" s="204" t="s">
        <v>2276</v>
      </c>
      <c r="X2655" s="21">
        <f>T2655/'Record info'!K$1145</f>
        <v>1.4722838137472286E-2</v>
      </c>
      <c r="Y2655" s="204" t="s">
        <v>2276</v>
      </c>
      <c r="Z2655" s="204" t="s">
        <v>68</v>
      </c>
      <c r="AA2655" s="204" t="s">
        <v>86</v>
      </c>
      <c r="AB2655" s="204" t="s">
        <v>76</v>
      </c>
      <c r="AC2655" s="204"/>
      <c r="AD2655" s="204"/>
    </row>
    <row r="2656" spans="1:30" ht="29" customHeight="1">
      <c r="A2656" s="19" t="s">
        <v>7294</v>
      </c>
      <c r="B2656" s="19" t="s">
        <v>7432</v>
      </c>
      <c r="C2656" s="204" t="s">
        <v>24</v>
      </c>
      <c r="D2656" s="204" t="s">
        <v>1242</v>
      </c>
      <c r="E2656" s="204" t="s">
        <v>3209</v>
      </c>
      <c r="F2656" s="152" t="s">
        <v>2276</v>
      </c>
      <c r="G2656" s="152" t="s">
        <v>2276</v>
      </c>
      <c r="H2656" s="204" t="s">
        <v>523</v>
      </c>
      <c r="I2656" s="204">
        <v>2007</v>
      </c>
      <c r="J2656" s="204" t="s">
        <v>2276</v>
      </c>
      <c r="K2656" s="204" t="s">
        <v>2276</v>
      </c>
      <c r="L2656" s="204" t="s">
        <v>2276</v>
      </c>
      <c r="M2656" s="204" t="s">
        <v>2276</v>
      </c>
      <c r="N2656" s="204" t="s">
        <v>2276</v>
      </c>
      <c r="O2656" s="204" t="s">
        <v>2276</v>
      </c>
      <c r="P2656" s="204" t="s">
        <v>2276</v>
      </c>
      <c r="Q2656" s="204" t="s">
        <v>2276</v>
      </c>
      <c r="R2656" s="204" t="s">
        <v>2276</v>
      </c>
      <c r="S2656" s="204" t="s">
        <v>2276</v>
      </c>
      <c r="T2656" s="21">
        <f>550*0.027</f>
        <v>14.85</v>
      </c>
      <c r="U2656" s="204" t="s">
        <v>2276</v>
      </c>
      <c r="V2656" s="204" t="s">
        <v>2276</v>
      </c>
      <c r="W2656" s="204" t="s">
        <v>2276</v>
      </c>
      <c r="X2656" s="21">
        <f>T2656/'Record info'!K$1128</f>
        <v>5.3035714285714283E-3</v>
      </c>
      <c r="Y2656" s="204" t="s">
        <v>2276</v>
      </c>
      <c r="Z2656" s="204" t="s">
        <v>68</v>
      </c>
      <c r="AA2656" s="204" t="s">
        <v>86</v>
      </c>
      <c r="AB2656" s="204" t="s">
        <v>76</v>
      </c>
      <c r="AC2656" s="204"/>
      <c r="AD2656" s="204"/>
    </row>
    <row r="2657" spans="1:30" ht="29" customHeight="1">
      <c r="A2657" s="19" t="s">
        <v>7380</v>
      </c>
      <c r="B2657" s="19" t="s">
        <v>7433</v>
      </c>
      <c r="C2657" s="204" t="s">
        <v>24</v>
      </c>
      <c r="D2657" s="204" t="s">
        <v>1242</v>
      </c>
      <c r="E2657" s="204" t="s">
        <v>3209</v>
      </c>
      <c r="F2657" s="152" t="s">
        <v>2276</v>
      </c>
      <c r="G2657" s="152" t="s">
        <v>2276</v>
      </c>
      <c r="H2657" s="204" t="s">
        <v>523</v>
      </c>
      <c r="I2657" s="204">
        <v>2007</v>
      </c>
      <c r="J2657" s="204" t="s">
        <v>2276</v>
      </c>
      <c r="K2657" s="204" t="s">
        <v>2276</v>
      </c>
      <c r="L2657" s="204" t="s">
        <v>2276</v>
      </c>
      <c r="M2657" s="204" t="s">
        <v>2276</v>
      </c>
      <c r="N2657" s="204" t="s">
        <v>2276</v>
      </c>
      <c r="O2657" s="204" t="s">
        <v>2276</v>
      </c>
      <c r="P2657" s="204" t="s">
        <v>2276</v>
      </c>
      <c r="Q2657" s="204" t="s">
        <v>2276</v>
      </c>
      <c r="R2657" s="204" t="s">
        <v>2276</v>
      </c>
      <c r="S2657" s="204" t="s">
        <v>2276</v>
      </c>
      <c r="T2657" s="21">
        <f>550*0.041</f>
        <v>22.55</v>
      </c>
      <c r="U2657" s="204" t="s">
        <v>2276</v>
      </c>
      <c r="V2657" s="204" t="s">
        <v>2276</v>
      </c>
      <c r="W2657" s="204" t="s">
        <v>2276</v>
      </c>
      <c r="X2657" s="21">
        <f>T2657/'Record info'!K$1129</f>
        <v>6.4153627311522047E-3</v>
      </c>
      <c r="Y2657" s="204" t="s">
        <v>2276</v>
      </c>
      <c r="Z2657" s="204" t="s">
        <v>68</v>
      </c>
      <c r="AA2657" s="204" t="s">
        <v>86</v>
      </c>
      <c r="AB2657" s="204" t="s">
        <v>76</v>
      </c>
      <c r="AC2657" s="204"/>
      <c r="AD2657" s="204"/>
    </row>
    <row r="2658" spans="1:30" ht="29" customHeight="1">
      <c r="A2658" s="19" t="s">
        <v>7381</v>
      </c>
      <c r="B2658" s="19" t="s">
        <v>7434</v>
      </c>
      <c r="C2658" s="204" t="s">
        <v>24</v>
      </c>
      <c r="D2658" s="204" t="s">
        <v>1242</v>
      </c>
      <c r="E2658" s="204" t="s">
        <v>3209</v>
      </c>
      <c r="F2658" s="152" t="s">
        <v>2276</v>
      </c>
      <c r="G2658" s="152" t="s">
        <v>2276</v>
      </c>
      <c r="H2658" s="204" t="s">
        <v>523</v>
      </c>
      <c r="I2658" s="204">
        <v>2007</v>
      </c>
      <c r="J2658" s="204" t="s">
        <v>2276</v>
      </c>
      <c r="K2658" s="204" t="s">
        <v>2276</v>
      </c>
      <c r="L2658" s="204" t="s">
        <v>2276</v>
      </c>
      <c r="M2658" s="204" t="s">
        <v>2276</v>
      </c>
      <c r="N2658" s="204" t="s">
        <v>2276</v>
      </c>
      <c r="O2658" s="204" t="s">
        <v>2276</v>
      </c>
      <c r="P2658" s="204" t="s">
        <v>2276</v>
      </c>
      <c r="Q2658" s="204" t="s">
        <v>2276</v>
      </c>
      <c r="R2658" s="204" t="s">
        <v>2276</v>
      </c>
      <c r="S2658" s="204" t="s">
        <v>2276</v>
      </c>
      <c r="T2658" s="21">
        <f>550*0.004</f>
        <v>2.2000000000000002</v>
      </c>
      <c r="U2658" s="204" t="s">
        <v>2276</v>
      </c>
      <c r="V2658" s="204" t="s">
        <v>2276</v>
      </c>
      <c r="W2658" s="204" t="s">
        <v>2276</v>
      </c>
      <c r="X2658" s="21">
        <f>T2658/'Record info'!K$1130</f>
        <v>3.260708463020602E-4</v>
      </c>
      <c r="Y2658" s="204" t="s">
        <v>2276</v>
      </c>
      <c r="Z2658" s="204" t="s">
        <v>68</v>
      </c>
      <c r="AA2658" s="204" t="s">
        <v>86</v>
      </c>
      <c r="AB2658" s="204" t="s">
        <v>76</v>
      </c>
      <c r="AC2658" s="204"/>
      <c r="AD2658" s="204"/>
    </row>
    <row r="2659" spans="1:30" ht="29" customHeight="1">
      <c r="A2659" s="19" t="s">
        <v>7382</v>
      </c>
      <c r="B2659" s="19" t="s">
        <v>7435</v>
      </c>
      <c r="C2659" s="204" t="s">
        <v>24</v>
      </c>
      <c r="D2659" s="204" t="s">
        <v>1242</v>
      </c>
      <c r="E2659" s="204" t="s">
        <v>3209</v>
      </c>
      <c r="F2659" s="152" t="s">
        <v>2276</v>
      </c>
      <c r="G2659" s="152" t="s">
        <v>2276</v>
      </c>
      <c r="H2659" s="204" t="s">
        <v>523</v>
      </c>
      <c r="I2659" s="204">
        <v>2007</v>
      </c>
      <c r="J2659" s="204" t="s">
        <v>2276</v>
      </c>
      <c r="K2659" s="204" t="s">
        <v>2276</v>
      </c>
      <c r="L2659" s="204" t="s">
        <v>2276</v>
      </c>
      <c r="M2659" s="204" t="s">
        <v>2276</v>
      </c>
      <c r="N2659" s="204" t="s">
        <v>2276</v>
      </c>
      <c r="O2659" s="204" t="s">
        <v>2276</v>
      </c>
      <c r="P2659" s="204" t="s">
        <v>2276</v>
      </c>
      <c r="Q2659" s="204" t="s">
        <v>2276</v>
      </c>
      <c r="R2659" s="204" t="s">
        <v>2276</v>
      </c>
      <c r="S2659" s="204" t="s">
        <v>2276</v>
      </c>
      <c r="T2659" s="21">
        <f>550*0.004</f>
        <v>2.2000000000000002</v>
      </c>
      <c r="U2659" s="204" t="s">
        <v>2276</v>
      </c>
      <c r="V2659" s="204" t="s">
        <v>2276</v>
      </c>
      <c r="W2659" s="204" t="s">
        <v>2276</v>
      </c>
      <c r="X2659" s="21">
        <f>T2659/'Record info'!K$1131</f>
        <v>4.3443917851500796E-4</v>
      </c>
      <c r="Y2659" s="204" t="s">
        <v>2276</v>
      </c>
      <c r="Z2659" s="204" t="s">
        <v>68</v>
      </c>
      <c r="AA2659" s="204" t="s">
        <v>86</v>
      </c>
      <c r="AB2659" s="204" t="s">
        <v>76</v>
      </c>
      <c r="AC2659" s="204"/>
      <c r="AD2659" s="204"/>
    </row>
    <row r="2660" spans="1:30" ht="29" customHeight="1">
      <c r="A2660" s="19" t="s">
        <v>7383</v>
      </c>
      <c r="B2660" s="19" t="s">
        <v>7436</v>
      </c>
      <c r="C2660" s="204" t="s">
        <v>24</v>
      </c>
      <c r="D2660" s="204" t="s">
        <v>1242</v>
      </c>
      <c r="E2660" s="204" t="s">
        <v>3209</v>
      </c>
      <c r="F2660" s="152" t="s">
        <v>2276</v>
      </c>
      <c r="G2660" s="152" t="s">
        <v>2276</v>
      </c>
      <c r="H2660" s="204" t="s">
        <v>524</v>
      </c>
      <c r="I2660" s="204">
        <v>2007</v>
      </c>
      <c r="J2660" s="21">
        <v>0</v>
      </c>
      <c r="K2660" s="21">
        <v>0</v>
      </c>
      <c r="L2660" s="21">
        <v>0</v>
      </c>
      <c r="M2660" s="21">
        <v>0</v>
      </c>
      <c r="N2660" s="21">
        <v>0</v>
      </c>
      <c r="O2660" s="21">
        <v>0</v>
      </c>
      <c r="P2660" s="21">
        <v>0</v>
      </c>
      <c r="Q2660" s="21">
        <v>0</v>
      </c>
      <c r="R2660" s="21">
        <v>0</v>
      </c>
      <c r="S2660" s="21">
        <v>0</v>
      </c>
      <c r="T2660" s="21">
        <v>0</v>
      </c>
      <c r="U2660" s="21">
        <v>0</v>
      </c>
      <c r="V2660" s="21">
        <v>0</v>
      </c>
      <c r="W2660" s="21">
        <v>0</v>
      </c>
      <c r="X2660" s="21">
        <f>T2660/'Record info'!K$1132</f>
        <v>0</v>
      </c>
      <c r="Y2660" s="204" t="s">
        <v>2276</v>
      </c>
      <c r="Z2660" s="204" t="s">
        <v>68</v>
      </c>
      <c r="AA2660" s="204" t="s">
        <v>86</v>
      </c>
      <c r="AB2660" s="204" t="s">
        <v>76</v>
      </c>
      <c r="AC2660" s="204"/>
      <c r="AD2660" s="204"/>
    </row>
    <row r="2661" spans="1:30" ht="29" customHeight="1">
      <c r="A2661" s="19" t="s">
        <v>7384</v>
      </c>
      <c r="B2661" s="19" t="s">
        <v>7437</v>
      </c>
      <c r="C2661" s="204" t="s">
        <v>24</v>
      </c>
      <c r="D2661" s="204" t="s">
        <v>1242</v>
      </c>
      <c r="E2661" s="204" t="s">
        <v>3209</v>
      </c>
      <c r="F2661" s="152" t="s">
        <v>2276</v>
      </c>
      <c r="G2661" s="152" t="s">
        <v>2276</v>
      </c>
      <c r="H2661" s="204" t="s">
        <v>524</v>
      </c>
      <c r="I2661" s="204">
        <v>2007</v>
      </c>
      <c r="J2661" s="21">
        <v>0</v>
      </c>
      <c r="K2661" s="21">
        <v>0</v>
      </c>
      <c r="L2661" s="21">
        <v>0</v>
      </c>
      <c r="M2661" s="21">
        <v>0</v>
      </c>
      <c r="N2661" s="21">
        <v>0</v>
      </c>
      <c r="O2661" s="21">
        <v>0</v>
      </c>
      <c r="P2661" s="21">
        <v>0</v>
      </c>
      <c r="Q2661" s="21">
        <v>0</v>
      </c>
      <c r="R2661" s="21">
        <v>0</v>
      </c>
      <c r="S2661" s="21">
        <v>0</v>
      </c>
      <c r="T2661" s="21">
        <v>0</v>
      </c>
      <c r="U2661" s="21">
        <v>0</v>
      </c>
      <c r="V2661" s="21">
        <v>0</v>
      </c>
      <c r="W2661" s="21">
        <v>0</v>
      </c>
      <c r="X2661" s="21">
        <f>T2661/'Record info'!K$1133</f>
        <v>0</v>
      </c>
      <c r="Y2661" s="204" t="s">
        <v>2276</v>
      </c>
      <c r="Z2661" s="204" t="s">
        <v>68</v>
      </c>
      <c r="AA2661" s="204" t="s">
        <v>86</v>
      </c>
      <c r="AB2661" s="204" t="s">
        <v>76</v>
      </c>
      <c r="AC2661" s="204"/>
      <c r="AD2661" s="204"/>
    </row>
    <row r="2662" spans="1:30" ht="29" customHeight="1">
      <c r="A2662" s="19" t="s">
        <v>7385</v>
      </c>
      <c r="B2662" s="19" t="s">
        <v>7438</v>
      </c>
      <c r="C2662" s="204" t="s">
        <v>24</v>
      </c>
      <c r="D2662" s="204" t="s">
        <v>1242</v>
      </c>
      <c r="E2662" s="204" t="s">
        <v>3209</v>
      </c>
      <c r="F2662" s="152" t="s">
        <v>2276</v>
      </c>
      <c r="G2662" s="152" t="s">
        <v>2276</v>
      </c>
      <c r="H2662" s="204" t="s">
        <v>524</v>
      </c>
      <c r="I2662" s="204">
        <v>2007</v>
      </c>
      <c r="J2662" s="21">
        <v>0</v>
      </c>
      <c r="K2662" s="21">
        <v>0</v>
      </c>
      <c r="L2662" s="21">
        <v>0</v>
      </c>
      <c r="M2662" s="21">
        <v>0</v>
      </c>
      <c r="N2662" s="21">
        <v>0</v>
      </c>
      <c r="O2662" s="21">
        <v>0</v>
      </c>
      <c r="P2662" s="21">
        <v>0</v>
      </c>
      <c r="Q2662" s="21">
        <v>0</v>
      </c>
      <c r="R2662" s="21">
        <v>0</v>
      </c>
      <c r="S2662" s="21">
        <v>0</v>
      </c>
      <c r="T2662" s="21">
        <v>0</v>
      </c>
      <c r="U2662" s="21">
        <v>0</v>
      </c>
      <c r="V2662" s="21">
        <v>0</v>
      </c>
      <c r="W2662" s="21">
        <v>0</v>
      </c>
      <c r="X2662" s="21">
        <f>T2662/'Record info'!K$1134</f>
        <v>0</v>
      </c>
      <c r="Y2662" s="204" t="s">
        <v>2276</v>
      </c>
      <c r="Z2662" s="204" t="s">
        <v>68</v>
      </c>
      <c r="AA2662" s="204" t="s">
        <v>86</v>
      </c>
      <c r="AB2662" s="204" t="s">
        <v>76</v>
      </c>
      <c r="AC2662" s="204"/>
      <c r="AD2662" s="204"/>
    </row>
    <row r="2663" spans="1:30" ht="29" customHeight="1">
      <c r="A2663" s="19" t="s">
        <v>7386</v>
      </c>
      <c r="B2663" s="19" t="s">
        <v>7439</v>
      </c>
      <c r="C2663" s="204" t="s">
        <v>24</v>
      </c>
      <c r="D2663" s="204" t="s">
        <v>1242</v>
      </c>
      <c r="E2663" s="204" t="s">
        <v>3209</v>
      </c>
      <c r="F2663" s="152" t="s">
        <v>2276</v>
      </c>
      <c r="G2663" s="152" t="s">
        <v>2276</v>
      </c>
      <c r="H2663" s="204" t="s">
        <v>523</v>
      </c>
      <c r="I2663" s="204">
        <v>2007</v>
      </c>
      <c r="J2663" s="204" t="s">
        <v>2276</v>
      </c>
      <c r="K2663" s="204" t="s">
        <v>2276</v>
      </c>
      <c r="L2663" s="204" t="s">
        <v>2276</v>
      </c>
      <c r="M2663" s="204" t="s">
        <v>2276</v>
      </c>
      <c r="N2663" s="204" t="s">
        <v>2276</v>
      </c>
      <c r="O2663" s="204" t="s">
        <v>2276</v>
      </c>
      <c r="P2663" s="204" t="s">
        <v>2276</v>
      </c>
      <c r="Q2663" s="204" t="s">
        <v>2276</v>
      </c>
      <c r="R2663" s="204" t="s">
        <v>2276</v>
      </c>
      <c r="S2663" s="204" t="s">
        <v>2276</v>
      </c>
      <c r="T2663" s="21">
        <f>550*0.035</f>
        <v>19.250000000000004</v>
      </c>
      <c r="U2663" s="204" t="s">
        <v>2276</v>
      </c>
      <c r="V2663" s="204" t="s">
        <v>2276</v>
      </c>
      <c r="W2663" s="204" t="s">
        <v>2276</v>
      </c>
      <c r="X2663" s="21">
        <f>T2663/'Record info'!K$1135</f>
        <v>3.1739488870568843E-3</v>
      </c>
      <c r="Y2663" s="204" t="s">
        <v>2276</v>
      </c>
      <c r="Z2663" s="204" t="s">
        <v>68</v>
      </c>
      <c r="AA2663" s="204" t="s">
        <v>86</v>
      </c>
      <c r="AB2663" s="204" t="s">
        <v>76</v>
      </c>
      <c r="AC2663" s="204"/>
      <c r="AD2663" s="204"/>
    </row>
    <row r="2664" spans="1:30" ht="29" customHeight="1">
      <c r="A2664" s="19" t="s">
        <v>7387</v>
      </c>
      <c r="B2664" s="19" t="s">
        <v>7440</v>
      </c>
      <c r="C2664" s="204" t="s">
        <v>24</v>
      </c>
      <c r="D2664" s="204" t="s">
        <v>1242</v>
      </c>
      <c r="E2664" s="204" t="s">
        <v>3209</v>
      </c>
      <c r="F2664" s="152" t="s">
        <v>2276</v>
      </c>
      <c r="G2664" s="152" t="s">
        <v>2276</v>
      </c>
      <c r="H2664" s="204" t="s">
        <v>523</v>
      </c>
      <c r="I2664" s="204">
        <v>2007</v>
      </c>
      <c r="J2664" s="204" t="s">
        <v>2276</v>
      </c>
      <c r="K2664" s="204" t="s">
        <v>2276</v>
      </c>
      <c r="L2664" s="204" t="s">
        <v>2276</v>
      </c>
      <c r="M2664" s="204" t="s">
        <v>2276</v>
      </c>
      <c r="N2664" s="204" t="s">
        <v>2276</v>
      </c>
      <c r="O2664" s="204" t="s">
        <v>2276</v>
      </c>
      <c r="P2664" s="204" t="s">
        <v>2276</v>
      </c>
      <c r="Q2664" s="204" t="s">
        <v>2276</v>
      </c>
      <c r="R2664" s="204" t="s">
        <v>2276</v>
      </c>
      <c r="S2664" s="204" t="s">
        <v>2276</v>
      </c>
      <c r="T2664" s="21">
        <f>550*0.079</f>
        <v>43.45</v>
      </c>
      <c r="U2664" s="204" t="s">
        <v>2276</v>
      </c>
      <c r="V2664" s="204" t="s">
        <v>2276</v>
      </c>
      <c r="W2664" s="204" t="s">
        <v>2276</v>
      </c>
      <c r="X2664" s="21">
        <f>T2664/'Record info'!K$1136</f>
        <v>6.50936329588015E-3</v>
      </c>
      <c r="Y2664" s="204" t="s">
        <v>2276</v>
      </c>
      <c r="Z2664" s="204" t="s">
        <v>68</v>
      </c>
      <c r="AA2664" s="204" t="s">
        <v>86</v>
      </c>
      <c r="AB2664" s="204" t="s">
        <v>76</v>
      </c>
      <c r="AC2664" s="204"/>
      <c r="AD2664" s="204"/>
    </row>
    <row r="2665" spans="1:30" ht="29" customHeight="1">
      <c r="A2665" s="19" t="s">
        <v>7388</v>
      </c>
      <c r="B2665" s="19" t="s">
        <v>7441</v>
      </c>
      <c r="C2665" s="204" t="s">
        <v>24</v>
      </c>
      <c r="D2665" s="204" t="s">
        <v>1242</v>
      </c>
      <c r="E2665" s="204" t="s">
        <v>3209</v>
      </c>
      <c r="F2665" s="152" t="s">
        <v>2276</v>
      </c>
      <c r="G2665" s="152" t="s">
        <v>2276</v>
      </c>
      <c r="H2665" s="204" t="s">
        <v>523</v>
      </c>
      <c r="I2665" s="204">
        <v>2007</v>
      </c>
      <c r="J2665" s="204" t="s">
        <v>2276</v>
      </c>
      <c r="K2665" s="204" t="s">
        <v>2276</v>
      </c>
      <c r="L2665" s="204" t="s">
        <v>2276</v>
      </c>
      <c r="M2665" s="204" t="s">
        <v>2276</v>
      </c>
      <c r="N2665" s="204" t="s">
        <v>2276</v>
      </c>
      <c r="O2665" s="204" t="s">
        <v>2276</v>
      </c>
      <c r="P2665" s="204" t="s">
        <v>2276</v>
      </c>
      <c r="Q2665" s="204" t="s">
        <v>2276</v>
      </c>
      <c r="R2665" s="204" t="s">
        <v>2276</v>
      </c>
      <c r="S2665" s="204" t="s">
        <v>2276</v>
      </c>
      <c r="T2665" s="21">
        <f>550*0.132</f>
        <v>72.600000000000009</v>
      </c>
      <c r="U2665" s="204" t="s">
        <v>2276</v>
      </c>
      <c r="V2665" s="204" t="s">
        <v>2276</v>
      </c>
      <c r="W2665" s="204" t="s">
        <v>2276</v>
      </c>
      <c r="X2665" s="21">
        <f>T2665/'Record info'!K$1137</f>
        <v>1.3156940920623417E-2</v>
      </c>
      <c r="Y2665" s="204" t="s">
        <v>2276</v>
      </c>
      <c r="Z2665" s="204" t="s">
        <v>68</v>
      </c>
      <c r="AA2665" s="204" t="s">
        <v>86</v>
      </c>
      <c r="AB2665" s="204" t="s">
        <v>76</v>
      </c>
      <c r="AC2665" s="204"/>
      <c r="AD2665" s="204"/>
    </row>
    <row r="2666" spans="1:30" ht="29" customHeight="1">
      <c r="A2666" s="19" t="s">
        <v>7389</v>
      </c>
      <c r="B2666" s="19" t="s">
        <v>7442</v>
      </c>
      <c r="C2666" s="204" t="s">
        <v>24</v>
      </c>
      <c r="D2666" s="204" t="s">
        <v>1242</v>
      </c>
      <c r="E2666" s="204" t="s">
        <v>3209</v>
      </c>
      <c r="F2666" s="152" t="s">
        <v>2276</v>
      </c>
      <c r="G2666" s="152" t="s">
        <v>2276</v>
      </c>
      <c r="H2666" s="204" t="s">
        <v>523</v>
      </c>
      <c r="I2666" s="204">
        <v>2007</v>
      </c>
      <c r="J2666" s="204" t="s">
        <v>2276</v>
      </c>
      <c r="K2666" s="204" t="s">
        <v>2276</v>
      </c>
      <c r="L2666" s="204" t="s">
        <v>2276</v>
      </c>
      <c r="M2666" s="204" t="s">
        <v>2276</v>
      </c>
      <c r="N2666" s="204" t="s">
        <v>2276</v>
      </c>
      <c r="O2666" s="204" t="s">
        <v>2276</v>
      </c>
      <c r="P2666" s="204" t="s">
        <v>2276</v>
      </c>
      <c r="Q2666" s="204" t="s">
        <v>2276</v>
      </c>
      <c r="R2666" s="204" t="s">
        <v>2276</v>
      </c>
      <c r="S2666" s="204" t="s">
        <v>2276</v>
      </c>
      <c r="T2666" s="21">
        <f>550*0.057</f>
        <v>31.35</v>
      </c>
      <c r="U2666" s="204" t="s">
        <v>2276</v>
      </c>
      <c r="V2666" s="204" t="s">
        <v>2276</v>
      </c>
      <c r="W2666" s="204" t="s">
        <v>2276</v>
      </c>
      <c r="X2666" s="21">
        <f>T2666/'Record info'!K$1138</f>
        <v>7.9427413225234365E-3</v>
      </c>
      <c r="Y2666" s="204" t="s">
        <v>2276</v>
      </c>
      <c r="Z2666" s="204" t="s">
        <v>68</v>
      </c>
      <c r="AA2666" s="204" t="s">
        <v>86</v>
      </c>
      <c r="AB2666" s="204" t="s">
        <v>76</v>
      </c>
      <c r="AC2666" s="204"/>
      <c r="AD2666" s="204"/>
    </row>
    <row r="2667" spans="1:30" ht="29" customHeight="1">
      <c r="A2667" s="19" t="s">
        <v>7390</v>
      </c>
      <c r="B2667" s="19" t="s">
        <v>7443</v>
      </c>
      <c r="C2667" s="204" t="s">
        <v>24</v>
      </c>
      <c r="D2667" s="204" t="s">
        <v>1242</v>
      </c>
      <c r="E2667" s="204" t="s">
        <v>3209</v>
      </c>
      <c r="F2667" s="152" t="s">
        <v>2276</v>
      </c>
      <c r="G2667" s="152" t="s">
        <v>2276</v>
      </c>
      <c r="H2667" s="204" t="s">
        <v>523</v>
      </c>
      <c r="I2667" s="204">
        <v>2007</v>
      </c>
      <c r="J2667" s="204" t="s">
        <v>2276</v>
      </c>
      <c r="K2667" s="204" t="s">
        <v>2276</v>
      </c>
      <c r="L2667" s="204" t="s">
        <v>2276</v>
      </c>
      <c r="M2667" s="204" t="s">
        <v>2276</v>
      </c>
      <c r="N2667" s="204" t="s">
        <v>2276</v>
      </c>
      <c r="O2667" s="204" t="s">
        <v>2276</v>
      </c>
      <c r="P2667" s="204" t="s">
        <v>2276</v>
      </c>
      <c r="Q2667" s="204" t="s">
        <v>2276</v>
      </c>
      <c r="R2667" s="204" t="s">
        <v>2276</v>
      </c>
      <c r="S2667" s="204" t="s">
        <v>2276</v>
      </c>
      <c r="T2667" s="21">
        <f>550*0.024</f>
        <v>13.200000000000001</v>
      </c>
      <c r="U2667" s="204" t="s">
        <v>2276</v>
      </c>
      <c r="V2667" s="204" t="s">
        <v>2276</v>
      </c>
      <c r="W2667" s="204" t="s">
        <v>2276</v>
      </c>
      <c r="X2667" s="21">
        <f>T2667/'Record info'!K$1139</f>
        <v>4.7008547008547015E-3</v>
      </c>
      <c r="Y2667" s="204" t="s">
        <v>2276</v>
      </c>
      <c r="Z2667" s="204" t="s">
        <v>68</v>
      </c>
      <c r="AA2667" s="204" t="s">
        <v>86</v>
      </c>
      <c r="AB2667" s="204" t="s">
        <v>76</v>
      </c>
      <c r="AC2667" s="204"/>
      <c r="AD2667" s="204"/>
    </row>
    <row r="2668" spans="1:30" ht="29" customHeight="1">
      <c r="A2668" s="19" t="s">
        <v>7391</v>
      </c>
      <c r="B2668" s="19" t="s">
        <v>7444</v>
      </c>
      <c r="C2668" s="204" t="s">
        <v>24</v>
      </c>
      <c r="D2668" s="204" t="s">
        <v>1242</v>
      </c>
      <c r="E2668" s="204" t="s">
        <v>3209</v>
      </c>
      <c r="F2668" s="152" t="s">
        <v>2276</v>
      </c>
      <c r="G2668" s="152" t="s">
        <v>2276</v>
      </c>
      <c r="H2668" s="204" t="s">
        <v>523</v>
      </c>
      <c r="I2668" s="204">
        <v>2007</v>
      </c>
      <c r="J2668" s="204" t="s">
        <v>2276</v>
      </c>
      <c r="K2668" s="204" t="s">
        <v>2276</v>
      </c>
      <c r="L2668" s="204" t="s">
        <v>2276</v>
      </c>
      <c r="M2668" s="204" t="s">
        <v>2276</v>
      </c>
      <c r="N2668" s="204" t="s">
        <v>2276</v>
      </c>
      <c r="O2668" s="204" t="s">
        <v>2276</v>
      </c>
      <c r="P2668" s="204" t="s">
        <v>2276</v>
      </c>
      <c r="Q2668" s="204" t="s">
        <v>2276</v>
      </c>
      <c r="R2668" s="204" t="s">
        <v>2276</v>
      </c>
      <c r="S2668" s="204" t="s">
        <v>2276</v>
      </c>
      <c r="T2668" s="21">
        <f>550*0.072</f>
        <v>39.599999999999994</v>
      </c>
      <c r="U2668" s="204" t="s">
        <v>2276</v>
      </c>
      <c r="V2668" s="204" t="s">
        <v>2276</v>
      </c>
      <c r="W2668" s="204" t="s">
        <v>2276</v>
      </c>
      <c r="X2668" s="21">
        <f>T2668/'Record info'!K$1140</f>
        <v>7.9089275014979019E-3</v>
      </c>
      <c r="Y2668" s="204" t="s">
        <v>2276</v>
      </c>
      <c r="Z2668" s="204" t="s">
        <v>68</v>
      </c>
      <c r="AA2668" s="204" t="s">
        <v>86</v>
      </c>
      <c r="AB2668" s="204" t="s">
        <v>76</v>
      </c>
      <c r="AC2668" s="204"/>
      <c r="AD2668" s="204"/>
    </row>
    <row r="2669" spans="1:30" ht="29" customHeight="1">
      <c r="A2669" s="19" t="s">
        <v>7392</v>
      </c>
      <c r="B2669" s="19" t="s">
        <v>7445</v>
      </c>
      <c r="C2669" s="204" t="s">
        <v>24</v>
      </c>
      <c r="D2669" s="204" t="s">
        <v>1242</v>
      </c>
      <c r="E2669" s="204" t="s">
        <v>3209</v>
      </c>
      <c r="F2669" s="152" t="s">
        <v>2276</v>
      </c>
      <c r="G2669" s="152" t="s">
        <v>2276</v>
      </c>
      <c r="H2669" s="204" t="s">
        <v>523</v>
      </c>
      <c r="I2669" s="204">
        <v>2007</v>
      </c>
      <c r="J2669" s="204" t="s">
        <v>2276</v>
      </c>
      <c r="K2669" s="204" t="s">
        <v>2276</v>
      </c>
      <c r="L2669" s="204" t="s">
        <v>2276</v>
      </c>
      <c r="M2669" s="204" t="s">
        <v>2276</v>
      </c>
      <c r="N2669" s="204" t="s">
        <v>2276</v>
      </c>
      <c r="O2669" s="204" t="s">
        <v>2276</v>
      </c>
      <c r="P2669" s="204" t="s">
        <v>2276</v>
      </c>
      <c r="Q2669" s="204" t="s">
        <v>2276</v>
      </c>
      <c r="R2669" s="204" t="s">
        <v>2276</v>
      </c>
      <c r="S2669" s="204" t="s">
        <v>2276</v>
      </c>
      <c r="T2669" s="21">
        <f>550*0.068</f>
        <v>37.400000000000006</v>
      </c>
      <c r="U2669" s="204" t="s">
        <v>2276</v>
      </c>
      <c r="V2669" s="204" t="s">
        <v>2276</v>
      </c>
      <c r="W2669" s="204" t="s">
        <v>2276</v>
      </c>
      <c r="X2669" s="21">
        <f>T2669/'Record info'!K$1141</f>
        <v>3.1856899488926754E-2</v>
      </c>
      <c r="Y2669" s="204" t="s">
        <v>2276</v>
      </c>
      <c r="Z2669" s="204" t="s">
        <v>68</v>
      </c>
      <c r="AA2669" s="204" t="s">
        <v>86</v>
      </c>
      <c r="AB2669" s="204" t="s">
        <v>76</v>
      </c>
      <c r="AC2669" s="204"/>
      <c r="AD2669" s="204"/>
    </row>
    <row r="2670" spans="1:30" ht="29" customHeight="1">
      <c r="A2670" s="19" t="s">
        <v>7393</v>
      </c>
      <c r="B2670" s="19" t="s">
        <v>7446</v>
      </c>
      <c r="C2670" s="204" t="s">
        <v>24</v>
      </c>
      <c r="D2670" s="204" t="s">
        <v>1242</v>
      </c>
      <c r="E2670" s="204" t="s">
        <v>3209</v>
      </c>
      <c r="F2670" s="152" t="s">
        <v>2276</v>
      </c>
      <c r="G2670" s="152" t="s">
        <v>2276</v>
      </c>
      <c r="H2670" s="204" t="s">
        <v>523</v>
      </c>
      <c r="I2670" s="204">
        <v>2007</v>
      </c>
      <c r="J2670" s="204" t="s">
        <v>2276</v>
      </c>
      <c r="K2670" s="204" t="s">
        <v>2276</v>
      </c>
      <c r="L2670" s="204" t="s">
        <v>2276</v>
      </c>
      <c r="M2670" s="204" t="s">
        <v>2276</v>
      </c>
      <c r="N2670" s="204" t="s">
        <v>2276</v>
      </c>
      <c r="O2670" s="204" t="s">
        <v>2276</v>
      </c>
      <c r="P2670" s="204" t="s">
        <v>2276</v>
      </c>
      <c r="Q2670" s="204" t="s">
        <v>2276</v>
      </c>
      <c r="R2670" s="204" t="s">
        <v>2276</v>
      </c>
      <c r="S2670" s="204" t="s">
        <v>2276</v>
      </c>
      <c r="T2670" s="21">
        <f>550*0.075</f>
        <v>41.25</v>
      </c>
      <c r="U2670" s="204" t="s">
        <v>2276</v>
      </c>
      <c r="V2670" s="204" t="s">
        <v>2276</v>
      </c>
      <c r="W2670" s="204" t="s">
        <v>2276</v>
      </c>
      <c r="X2670" s="21">
        <f>T2670/'Record info'!K$1142</f>
        <v>9.5309611829944539E-3</v>
      </c>
      <c r="Y2670" s="204" t="s">
        <v>2276</v>
      </c>
      <c r="Z2670" s="204" t="s">
        <v>68</v>
      </c>
      <c r="AA2670" s="204" t="s">
        <v>86</v>
      </c>
      <c r="AB2670" s="204" t="s">
        <v>76</v>
      </c>
      <c r="AC2670" s="204"/>
      <c r="AD2670" s="204"/>
    </row>
    <row r="2671" spans="1:30" ht="29" customHeight="1">
      <c r="A2671" s="19" t="s">
        <v>7394</v>
      </c>
      <c r="B2671" s="19" t="s">
        <v>7447</v>
      </c>
      <c r="C2671" s="204" t="s">
        <v>24</v>
      </c>
      <c r="D2671" s="204" t="s">
        <v>1242</v>
      </c>
      <c r="E2671" s="204" t="s">
        <v>3209</v>
      </c>
      <c r="F2671" s="152" t="s">
        <v>2276</v>
      </c>
      <c r="G2671" s="152" t="s">
        <v>2276</v>
      </c>
      <c r="H2671" s="204" t="s">
        <v>523</v>
      </c>
      <c r="I2671" s="204">
        <v>2007</v>
      </c>
      <c r="J2671" s="204" t="s">
        <v>2276</v>
      </c>
      <c r="K2671" s="204" t="s">
        <v>2276</v>
      </c>
      <c r="L2671" s="204" t="s">
        <v>2276</v>
      </c>
      <c r="M2671" s="204" t="s">
        <v>2276</v>
      </c>
      <c r="N2671" s="204" t="s">
        <v>2276</v>
      </c>
      <c r="O2671" s="204" t="s">
        <v>2276</v>
      </c>
      <c r="P2671" s="204" t="s">
        <v>2276</v>
      </c>
      <c r="Q2671" s="204" t="s">
        <v>2276</v>
      </c>
      <c r="R2671" s="204" t="s">
        <v>2276</v>
      </c>
      <c r="S2671" s="204" t="s">
        <v>2276</v>
      </c>
      <c r="T2671" s="21">
        <f>550*0.111</f>
        <v>61.050000000000004</v>
      </c>
      <c r="U2671" s="204" t="s">
        <v>2276</v>
      </c>
      <c r="V2671" s="204" t="s">
        <v>2276</v>
      </c>
      <c r="W2671" s="204" t="s">
        <v>2276</v>
      </c>
      <c r="X2671" s="21">
        <f>T2671/'Record info'!K$1143</f>
        <v>2.549060542797495E-2</v>
      </c>
      <c r="Y2671" s="204" t="s">
        <v>2276</v>
      </c>
      <c r="Z2671" s="204" t="s">
        <v>68</v>
      </c>
      <c r="AA2671" s="204" t="s">
        <v>86</v>
      </c>
      <c r="AB2671" s="204" t="s">
        <v>76</v>
      </c>
      <c r="AC2671" s="204"/>
      <c r="AD2671" s="204"/>
    </row>
    <row r="2672" spans="1:30" ht="29" customHeight="1">
      <c r="A2672" s="19" t="s">
        <v>7395</v>
      </c>
      <c r="B2672" s="19" t="s">
        <v>7448</v>
      </c>
      <c r="C2672" s="204" t="s">
        <v>24</v>
      </c>
      <c r="D2672" s="204" t="s">
        <v>1242</v>
      </c>
      <c r="E2672" s="204" t="s">
        <v>3209</v>
      </c>
      <c r="F2672" s="152" t="s">
        <v>2276</v>
      </c>
      <c r="G2672" s="152" t="s">
        <v>2276</v>
      </c>
      <c r="H2672" s="204" t="s">
        <v>523</v>
      </c>
      <c r="I2672" s="204">
        <v>2007</v>
      </c>
      <c r="J2672" s="204" t="s">
        <v>2276</v>
      </c>
      <c r="K2672" s="204" t="s">
        <v>2276</v>
      </c>
      <c r="L2672" s="204" t="s">
        <v>2276</v>
      </c>
      <c r="M2672" s="204" t="s">
        <v>2276</v>
      </c>
      <c r="N2672" s="204" t="s">
        <v>2276</v>
      </c>
      <c r="O2672" s="204" t="s">
        <v>2276</v>
      </c>
      <c r="P2672" s="204" t="s">
        <v>2276</v>
      </c>
      <c r="Q2672" s="204" t="s">
        <v>2276</v>
      </c>
      <c r="R2672" s="204" t="s">
        <v>2276</v>
      </c>
      <c r="S2672" s="204" t="s">
        <v>2276</v>
      </c>
      <c r="T2672" s="21">
        <f>550*0.106</f>
        <v>58.3</v>
      </c>
      <c r="U2672" s="204" t="s">
        <v>2276</v>
      </c>
      <c r="V2672" s="204" t="s">
        <v>2276</v>
      </c>
      <c r="W2672" s="204" t="s">
        <v>2276</v>
      </c>
      <c r="X2672" s="21">
        <f>T2672/'Record info'!K$1144</f>
        <v>2.1810699588477367E-2</v>
      </c>
      <c r="Y2672" s="204" t="s">
        <v>2276</v>
      </c>
      <c r="Z2672" s="204" t="s">
        <v>68</v>
      </c>
      <c r="AA2672" s="204" t="s">
        <v>86</v>
      </c>
      <c r="AB2672" s="204" t="s">
        <v>76</v>
      </c>
      <c r="AC2672" s="204"/>
      <c r="AD2672" s="204"/>
    </row>
    <row r="2673" spans="1:30" ht="29" customHeight="1">
      <c r="A2673" s="19" t="s">
        <v>7396</v>
      </c>
      <c r="B2673" s="19" t="s">
        <v>7449</v>
      </c>
      <c r="C2673" s="204" t="s">
        <v>24</v>
      </c>
      <c r="D2673" s="204" t="s">
        <v>1242</v>
      </c>
      <c r="E2673" s="204" t="s">
        <v>3209</v>
      </c>
      <c r="F2673" s="152" t="s">
        <v>2276</v>
      </c>
      <c r="G2673" s="152" t="s">
        <v>2276</v>
      </c>
      <c r="H2673" s="204" t="s">
        <v>523</v>
      </c>
      <c r="I2673" s="204">
        <v>2007</v>
      </c>
      <c r="J2673" s="204" t="s">
        <v>2276</v>
      </c>
      <c r="K2673" s="204" t="s">
        <v>2276</v>
      </c>
      <c r="L2673" s="204" t="s">
        <v>2276</v>
      </c>
      <c r="M2673" s="204" t="s">
        <v>2276</v>
      </c>
      <c r="N2673" s="204" t="s">
        <v>2276</v>
      </c>
      <c r="O2673" s="204" t="s">
        <v>2276</v>
      </c>
      <c r="P2673" s="204" t="s">
        <v>2276</v>
      </c>
      <c r="Q2673" s="204" t="s">
        <v>2276</v>
      </c>
      <c r="R2673" s="204" t="s">
        <v>2276</v>
      </c>
      <c r="S2673" s="204" t="s">
        <v>2276</v>
      </c>
      <c r="T2673" s="21">
        <f>550*0.166</f>
        <v>91.300000000000011</v>
      </c>
      <c r="U2673" s="204" t="s">
        <v>2276</v>
      </c>
      <c r="V2673" s="204" t="s">
        <v>2276</v>
      </c>
      <c r="W2673" s="204" t="s">
        <v>2276</v>
      </c>
      <c r="X2673" s="21">
        <f>T2673/'Record info'!K$1145</f>
        <v>4.0487804878048789E-2</v>
      </c>
      <c r="Y2673" s="204" t="s">
        <v>2276</v>
      </c>
      <c r="Z2673" s="204" t="s">
        <v>68</v>
      </c>
      <c r="AA2673" s="204" t="s">
        <v>86</v>
      </c>
      <c r="AB2673" s="204" t="s">
        <v>76</v>
      </c>
      <c r="AC2673" s="204"/>
      <c r="AD2673" s="204"/>
    </row>
    <row r="2674" spans="1:30" ht="32" customHeight="1">
      <c r="A2674" s="19" t="s">
        <v>7294</v>
      </c>
      <c r="B2674" s="19" t="s">
        <v>7450</v>
      </c>
      <c r="C2674" s="204" t="s">
        <v>24</v>
      </c>
      <c r="D2674" s="204" t="s">
        <v>1242</v>
      </c>
      <c r="E2674" s="204" t="s">
        <v>3209</v>
      </c>
      <c r="F2674" s="152" t="s">
        <v>2276</v>
      </c>
      <c r="G2674" s="152" t="s">
        <v>2276</v>
      </c>
      <c r="H2674" s="204" t="s">
        <v>523</v>
      </c>
      <c r="I2674" s="204">
        <v>2008</v>
      </c>
      <c r="J2674" s="204" t="s">
        <v>2276</v>
      </c>
      <c r="K2674" s="204" t="s">
        <v>2276</v>
      </c>
      <c r="L2674" s="204" t="s">
        <v>2276</v>
      </c>
      <c r="M2674" s="204" t="s">
        <v>2276</v>
      </c>
      <c r="N2674" s="204" t="s">
        <v>2276</v>
      </c>
      <c r="O2674" s="204" t="s">
        <v>2276</v>
      </c>
      <c r="P2674" s="204" t="s">
        <v>2276</v>
      </c>
      <c r="Q2674" s="204" t="s">
        <v>2276</v>
      </c>
      <c r="R2674" s="204" t="s">
        <v>2276</v>
      </c>
      <c r="S2674" s="204" t="s">
        <v>2276</v>
      </c>
      <c r="T2674" s="21">
        <f>950*0.027</f>
        <v>25.65</v>
      </c>
      <c r="U2674" s="204" t="s">
        <v>2276</v>
      </c>
      <c r="V2674" s="204" t="s">
        <v>2276</v>
      </c>
      <c r="W2674" s="204" t="s">
        <v>2276</v>
      </c>
      <c r="X2674" s="21">
        <f>T2674/'Record info'!K$1128</f>
        <v>9.1607142857142859E-3</v>
      </c>
      <c r="Y2674" s="204" t="s">
        <v>2276</v>
      </c>
      <c r="Z2674" s="204" t="s">
        <v>68</v>
      </c>
      <c r="AA2674" s="204" t="s">
        <v>86</v>
      </c>
      <c r="AB2674" s="204" t="s">
        <v>76</v>
      </c>
      <c r="AC2674" s="204"/>
      <c r="AD2674" s="204"/>
    </row>
    <row r="2675" spans="1:30" ht="32" customHeight="1">
      <c r="A2675" s="19" t="s">
        <v>7380</v>
      </c>
      <c r="B2675" s="19" t="s">
        <v>7451</v>
      </c>
      <c r="C2675" s="204" t="s">
        <v>24</v>
      </c>
      <c r="D2675" s="204" t="s">
        <v>1242</v>
      </c>
      <c r="E2675" s="204" t="s">
        <v>3209</v>
      </c>
      <c r="F2675" s="152" t="s">
        <v>2276</v>
      </c>
      <c r="G2675" s="152" t="s">
        <v>2276</v>
      </c>
      <c r="H2675" s="204" t="s">
        <v>523</v>
      </c>
      <c r="I2675" s="204">
        <v>2008</v>
      </c>
      <c r="J2675" s="204" t="s">
        <v>2276</v>
      </c>
      <c r="K2675" s="204" t="s">
        <v>2276</v>
      </c>
      <c r="L2675" s="204" t="s">
        <v>2276</v>
      </c>
      <c r="M2675" s="204" t="s">
        <v>2276</v>
      </c>
      <c r="N2675" s="204" t="s">
        <v>2276</v>
      </c>
      <c r="O2675" s="204" t="s">
        <v>2276</v>
      </c>
      <c r="P2675" s="204" t="s">
        <v>2276</v>
      </c>
      <c r="Q2675" s="204" t="s">
        <v>2276</v>
      </c>
      <c r="R2675" s="204" t="s">
        <v>2276</v>
      </c>
      <c r="S2675" s="204" t="s">
        <v>2276</v>
      </c>
      <c r="T2675" s="21">
        <f>950*0.041</f>
        <v>38.950000000000003</v>
      </c>
      <c r="U2675" s="204" t="s">
        <v>2276</v>
      </c>
      <c r="V2675" s="204" t="s">
        <v>2276</v>
      </c>
      <c r="W2675" s="204" t="s">
        <v>2276</v>
      </c>
      <c r="X2675" s="21">
        <f>T2675/'Record info'!K$1129</f>
        <v>1.1081081081081082E-2</v>
      </c>
      <c r="Y2675" s="204" t="s">
        <v>2276</v>
      </c>
      <c r="Z2675" s="204" t="s">
        <v>68</v>
      </c>
      <c r="AA2675" s="204" t="s">
        <v>86</v>
      </c>
      <c r="AB2675" s="204" t="s">
        <v>76</v>
      </c>
      <c r="AC2675" s="204"/>
      <c r="AD2675" s="204"/>
    </row>
    <row r="2676" spans="1:30" ht="32" customHeight="1">
      <c r="A2676" s="19" t="s">
        <v>7381</v>
      </c>
      <c r="B2676" s="19" t="s">
        <v>7452</v>
      </c>
      <c r="C2676" s="204" t="s">
        <v>24</v>
      </c>
      <c r="D2676" s="204" t="s">
        <v>1242</v>
      </c>
      <c r="E2676" s="204" t="s">
        <v>3209</v>
      </c>
      <c r="F2676" s="152" t="s">
        <v>2276</v>
      </c>
      <c r="G2676" s="152" t="s">
        <v>2276</v>
      </c>
      <c r="H2676" s="204" t="s">
        <v>523</v>
      </c>
      <c r="I2676" s="204">
        <v>2008</v>
      </c>
      <c r="J2676" s="204" t="s">
        <v>2276</v>
      </c>
      <c r="K2676" s="204" t="s">
        <v>2276</v>
      </c>
      <c r="L2676" s="204" t="s">
        <v>2276</v>
      </c>
      <c r="M2676" s="204" t="s">
        <v>2276</v>
      </c>
      <c r="N2676" s="204" t="s">
        <v>2276</v>
      </c>
      <c r="O2676" s="204" t="s">
        <v>2276</v>
      </c>
      <c r="P2676" s="204" t="s">
        <v>2276</v>
      </c>
      <c r="Q2676" s="204" t="s">
        <v>2276</v>
      </c>
      <c r="R2676" s="204" t="s">
        <v>2276</v>
      </c>
      <c r="S2676" s="204" t="s">
        <v>2276</v>
      </c>
      <c r="T2676" s="21">
        <f>950*0.004</f>
        <v>3.8000000000000003</v>
      </c>
      <c r="U2676" s="204" t="s">
        <v>2276</v>
      </c>
      <c r="V2676" s="204" t="s">
        <v>2276</v>
      </c>
      <c r="W2676" s="204" t="s">
        <v>2276</v>
      </c>
      <c r="X2676" s="21">
        <f>T2676/'Record info'!K$1130</f>
        <v>5.6321327997628577E-4</v>
      </c>
      <c r="Y2676" s="204" t="s">
        <v>2276</v>
      </c>
      <c r="Z2676" s="204" t="s">
        <v>68</v>
      </c>
      <c r="AA2676" s="204" t="s">
        <v>86</v>
      </c>
      <c r="AB2676" s="204" t="s">
        <v>76</v>
      </c>
      <c r="AC2676" s="204"/>
      <c r="AD2676" s="204"/>
    </row>
    <row r="2677" spans="1:30" ht="32" customHeight="1">
      <c r="A2677" s="19" t="s">
        <v>7382</v>
      </c>
      <c r="B2677" s="19" t="s">
        <v>7453</v>
      </c>
      <c r="C2677" s="204" t="s">
        <v>24</v>
      </c>
      <c r="D2677" s="204" t="s">
        <v>1242</v>
      </c>
      <c r="E2677" s="204" t="s">
        <v>3209</v>
      </c>
      <c r="F2677" s="152" t="s">
        <v>2276</v>
      </c>
      <c r="G2677" s="152" t="s">
        <v>2276</v>
      </c>
      <c r="H2677" s="204" t="s">
        <v>523</v>
      </c>
      <c r="I2677" s="204">
        <v>2008</v>
      </c>
      <c r="J2677" s="204" t="s">
        <v>2276</v>
      </c>
      <c r="K2677" s="204" t="s">
        <v>2276</v>
      </c>
      <c r="L2677" s="204" t="s">
        <v>2276</v>
      </c>
      <c r="M2677" s="204" t="s">
        <v>2276</v>
      </c>
      <c r="N2677" s="204" t="s">
        <v>2276</v>
      </c>
      <c r="O2677" s="204" t="s">
        <v>2276</v>
      </c>
      <c r="P2677" s="204" t="s">
        <v>2276</v>
      </c>
      <c r="Q2677" s="204" t="s">
        <v>2276</v>
      </c>
      <c r="R2677" s="204" t="s">
        <v>2276</v>
      </c>
      <c r="S2677" s="204" t="s">
        <v>2276</v>
      </c>
      <c r="T2677" s="21">
        <f>950*0.004</f>
        <v>3.8000000000000003</v>
      </c>
      <c r="U2677" s="204" t="s">
        <v>2276</v>
      </c>
      <c r="V2677" s="204" t="s">
        <v>2276</v>
      </c>
      <c r="W2677" s="204" t="s">
        <v>2276</v>
      </c>
      <c r="X2677" s="21">
        <f>T2677/'Record info'!K$1131</f>
        <v>7.50394944707741E-4</v>
      </c>
      <c r="Y2677" s="204" t="s">
        <v>2276</v>
      </c>
      <c r="Z2677" s="204" t="s">
        <v>68</v>
      </c>
      <c r="AA2677" s="204" t="s">
        <v>86</v>
      </c>
      <c r="AB2677" s="204" t="s">
        <v>76</v>
      </c>
      <c r="AC2677" s="204"/>
      <c r="AD2677" s="204"/>
    </row>
    <row r="2678" spans="1:30" ht="32" customHeight="1">
      <c r="A2678" s="19" t="s">
        <v>7383</v>
      </c>
      <c r="B2678" s="19" t="s">
        <v>7454</v>
      </c>
      <c r="C2678" s="204" t="s">
        <v>24</v>
      </c>
      <c r="D2678" s="204" t="s">
        <v>1242</v>
      </c>
      <c r="E2678" s="204" t="s">
        <v>3209</v>
      </c>
      <c r="F2678" s="152" t="s">
        <v>2276</v>
      </c>
      <c r="G2678" s="152" t="s">
        <v>2276</v>
      </c>
      <c r="H2678" s="204" t="s">
        <v>524</v>
      </c>
      <c r="I2678" s="204">
        <v>2008</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f>T2678/'Record info'!K$1132</f>
        <v>0</v>
      </c>
      <c r="Y2678" s="204" t="s">
        <v>2276</v>
      </c>
      <c r="Z2678" s="204" t="s">
        <v>68</v>
      </c>
      <c r="AA2678" s="204" t="s">
        <v>86</v>
      </c>
      <c r="AB2678" s="204" t="s">
        <v>76</v>
      </c>
      <c r="AC2678" s="204"/>
      <c r="AD2678" s="204"/>
    </row>
    <row r="2679" spans="1:30" ht="32" customHeight="1">
      <c r="A2679" s="19" t="s">
        <v>7384</v>
      </c>
      <c r="B2679" s="19" t="s">
        <v>7455</v>
      </c>
      <c r="C2679" s="204" t="s">
        <v>24</v>
      </c>
      <c r="D2679" s="204" t="s">
        <v>1242</v>
      </c>
      <c r="E2679" s="204" t="s">
        <v>3209</v>
      </c>
      <c r="F2679" s="152" t="s">
        <v>2276</v>
      </c>
      <c r="G2679" s="152" t="s">
        <v>2276</v>
      </c>
      <c r="H2679" s="204" t="s">
        <v>524</v>
      </c>
      <c r="I2679" s="204">
        <v>2008</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info'!K$1133</f>
        <v>0</v>
      </c>
      <c r="Y2679" s="204" t="s">
        <v>2276</v>
      </c>
      <c r="Z2679" s="204" t="s">
        <v>68</v>
      </c>
      <c r="AA2679" s="204" t="s">
        <v>86</v>
      </c>
      <c r="AB2679" s="204" t="s">
        <v>76</v>
      </c>
      <c r="AC2679" s="204"/>
      <c r="AD2679" s="204"/>
    </row>
    <row r="2680" spans="1:30" ht="32" customHeight="1">
      <c r="A2680" s="19" t="s">
        <v>7385</v>
      </c>
      <c r="B2680" s="19" t="s">
        <v>7456</v>
      </c>
      <c r="C2680" s="204" t="s">
        <v>24</v>
      </c>
      <c r="D2680" s="204" t="s">
        <v>1242</v>
      </c>
      <c r="E2680" s="204" t="s">
        <v>3209</v>
      </c>
      <c r="F2680" s="152" t="s">
        <v>2276</v>
      </c>
      <c r="G2680" s="152" t="s">
        <v>2276</v>
      </c>
      <c r="H2680" s="204" t="s">
        <v>524</v>
      </c>
      <c r="I2680" s="204">
        <v>2008</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info'!K$1134</f>
        <v>0</v>
      </c>
      <c r="Y2680" s="204" t="s">
        <v>2276</v>
      </c>
      <c r="Z2680" s="204" t="s">
        <v>68</v>
      </c>
      <c r="AA2680" s="204" t="s">
        <v>86</v>
      </c>
      <c r="AB2680" s="204" t="s">
        <v>76</v>
      </c>
      <c r="AC2680" s="204"/>
      <c r="AD2680" s="204"/>
    </row>
    <row r="2681" spans="1:30" ht="32" customHeight="1">
      <c r="A2681" s="19" t="s">
        <v>7386</v>
      </c>
      <c r="B2681" s="19" t="s">
        <v>7457</v>
      </c>
      <c r="C2681" s="204" t="s">
        <v>24</v>
      </c>
      <c r="D2681" s="204" t="s">
        <v>1242</v>
      </c>
      <c r="E2681" s="204" t="s">
        <v>3209</v>
      </c>
      <c r="F2681" s="152" t="s">
        <v>2276</v>
      </c>
      <c r="G2681" s="152" t="s">
        <v>2276</v>
      </c>
      <c r="H2681" s="204" t="s">
        <v>523</v>
      </c>
      <c r="I2681" s="204">
        <v>2008</v>
      </c>
      <c r="J2681" s="204" t="s">
        <v>2276</v>
      </c>
      <c r="K2681" s="204" t="s">
        <v>2276</v>
      </c>
      <c r="L2681" s="204" t="s">
        <v>2276</v>
      </c>
      <c r="M2681" s="204" t="s">
        <v>2276</v>
      </c>
      <c r="N2681" s="204" t="s">
        <v>2276</v>
      </c>
      <c r="O2681" s="204" t="s">
        <v>2276</v>
      </c>
      <c r="P2681" s="204" t="s">
        <v>2276</v>
      </c>
      <c r="Q2681" s="204" t="s">
        <v>2276</v>
      </c>
      <c r="R2681" s="204" t="s">
        <v>2276</v>
      </c>
      <c r="S2681" s="204" t="s">
        <v>2276</v>
      </c>
      <c r="T2681" s="21">
        <f>950*0.035</f>
        <v>33.25</v>
      </c>
      <c r="U2681" s="204" t="s">
        <v>2276</v>
      </c>
      <c r="V2681" s="204" t="s">
        <v>2276</v>
      </c>
      <c r="W2681" s="204" t="s">
        <v>2276</v>
      </c>
      <c r="X2681" s="21">
        <f>T2681/'Record info'!K$1135</f>
        <v>5.4822753503709814E-3</v>
      </c>
      <c r="Y2681" s="204" t="s">
        <v>2276</v>
      </c>
      <c r="Z2681" s="204" t="s">
        <v>68</v>
      </c>
      <c r="AA2681" s="204" t="s">
        <v>86</v>
      </c>
      <c r="AB2681" s="204" t="s">
        <v>76</v>
      </c>
      <c r="AC2681" s="204"/>
      <c r="AD2681" s="204"/>
    </row>
    <row r="2682" spans="1:30" ht="32" customHeight="1">
      <c r="A2682" s="19" t="s">
        <v>7387</v>
      </c>
      <c r="B2682" s="19" t="s">
        <v>7458</v>
      </c>
      <c r="C2682" s="204" t="s">
        <v>24</v>
      </c>
      <c r="D2682" s="204" t="s">
        <v>1242</v>
      </c>
      <c r="E2682" s="204" t="s">
        <v>3209</v>
      </c>
      <c r="F2682" s="152" t="s">
        <v>2276</v>
      </c>
      <c r="G2682" s="152" t="s">
        <v>2276</v>
      </c>
      <c r="H2682" s="204" t="s">
        <v>523</v>
      </c>
      <c r="I2682" s="204">
        <v>2008</v>
      </c>
      <c r="J2682" s="204" t="s">
        <v>2276</v>
      </c>
      <c r="K2682" s="204" t="s">
        <v>2276</v>
      </c>
      <c r="L2682" s="204" t="s">
        <v>2276</v>
      </c>
      <c r="M2682" s="204" t="s">
        <v>2276</v>
      </c>
      <c r="N2682" s="204" t="s">
        <v>2276</v>
      </c>
      <c r="O2682" s="204" t="s">
        <v>2276</v>
      </c>
      <c r="P2682" s="204" t="s">
        <v>2276</v>
      </c>
      <c r="Q2682" s="204" t="s">
        <v>2276</v>
      </c>
      <c r="R2682" s="204" t="s">
        <v>2276</v>
      </c>
      <c r="S2682" s="204" t="s">
        <v>2276</v>
      </c>
      <c r="T2682" s="21">
        <f>950*0.079</f>
        <v>75.05</v>
      </c>
      <c r="U2682" s="204" t="s">
        <v>2276</v>
      </c>
      <c r="V2682" s="204" t="s">
        <v>2276</v>
      </c>
      <c r="W2682" s="204" t="s">
        <v>2276</v>
      </c>
      <c r="X2682" s="21">
        <f>T2682/'Record info'!K$1136</f>
        <v>1.1243445692883894E-2</v>
      </c>
      <c r="Y2682" s="204" t="s">
        <v>2276</v>
      </c>
      <c r="Z2682" s="204" t="s">
        <v>68</v>
      </c>
      <c r="AA2682" s="204" t="s">
        <v>86</v>
      </c>
      <c r="AB2682" s="204" t="s">
        <v>76</v>
      </c>
      <c r="AC2682" s="204"/>
      <c r="AD2682" s="204"/>
    </row>
    <row r="2683" spans="1:30" ht="32" customHeight="1">
      <c r="A2683" s="19" t="s">
        <v>7388</v>
      </c>
      <c r="B2683" s="19" t="s">
        <v>7459</v>
      </c>
      <c r="C2683" s="204" t="s">
        <v>24</v>
      </c>
      <c r="D2683" s="204" t="s">
        <v>1242</v>
      </c>
      <c r="E2683" s="204" t="s">
        <v>3209</v>
      </c>
      <c r="F2683" s="152" t="s">
        <v>2276</v>
      </c>
      <c r="G2683" s="152" t="s">
        <v>2276</v>
      </c>
      <c r="H2683" s="204" t="s">
        <v>523</v>
      </c>
      <c r="I2683" s="204">
        <v>2008</v>
      </c>
      <c r="J2683" s="204" t="s">
        <v>2276</v>
      </c>
      <c r="K2683" s="204" t="s">
        <v>2276</v>
      </c>
      <c r="L2683" s="204" t="s">
        <v>2276</v>
      </c>
      <c r="M2683" s="204" t="s">
        <v>2276</v>
      </c>
      <c r="N2683" s="204" t="s">
        <v>2276</v>
      </c>
      <c r="O2683" s="204" t="s">
        <v>2276</v>
      </c>
      <c r="P2683" s="204" t="s">
        <v>2276</v>
      </c>
      <c r="Q2683" s="204" t="s">
        <v>2276</v>
      </c>
      <c r="R2683" s="204" t="s">
        <v>2276</v>
      </c>
      <c r="S2683" s="204" t="s">
        <v>2276</v>
      </c>
      <c r="T2683" s="21">
        <f>950*0.132</f>
        <v>125.4</v>
      </c>
      <c r="U2683" s="204" t="s">
        <v>2276</v>
      </c>
      <c r="V2683" s="204" t="s">
        <v>2276</v>
      </c>
      <c r="W2683" s="204" t="s">
        <v>2276</v>
      </c>
      <c r="X2683" s="21">
        <f>T2683/'Record info'!K$1137</f>
        <v>2.2725625226531352E-2</v>
      </c>
      <c r="Y2683" s="204" t="s">
        <v>2276</v>
      </c>
      <c r="Z2683" s="204" t="s">
        <v>68</v>
      </c>
      <c r="AA2683" s="204" t="s">
        <v>86</v>
      </c>
      <c r="AB2683" s="204" t="s">
        <v>76</v>
      </c>
      <c r="AC2683" s="204"/>
      <c r="AD2683" s="204"/>
    </row>
    <row r="2684" spans="1:30" ht="32" customHeight="1">
      <c r="A2684" s="19" t="s">
        <v>7389</v>
      </c>
      <c r="B2684" s="19" t="s">
        <v>7460</v>
      </c>
      <c r="C2684" s="204" t="s">
        <v>24</v>
      </c>
      <c r="D2684" s="204" t="s">
        <v>1242</v>
      </c>
      <c r="E2684" s="204" t="s">
        <v>3209</v>
      </c>
      <c r="F2684" s="152" t="s">
        <v>2276</v>
      </c>
      <c r="G2684" s="152" t="s">
        <v>2276</v>
      </c>
      <c r="H2684" s="204" t="s">
        <v>523</v>
      </c>
      <c r="I2684" s="204">
        <v>2008</v>
      </c>
      <c r="J2684" s="204" t="s">
        <v>2276</v>
      </c>
      <c r="K2684" s="204" t="s">
        <v>2276</v>
      </c>
      <c r="L2684" s="204" t="s">
        <v>2276</v>
      </c>
      <c r="M2684" s="204" t="s">
        <v>2276</v>
      </c>
      <c r="N2684" s="204" t="s">
        <v>2276</v>
      </c>
      <c r="O2684" s="204" t="s">
        <v>2276</v>
      </c>
      <c r="P2684" s="204" t="s">
        <v>2276</v>
      </c>
      <c r="Q2684" s="204" t="s">
        <v>2276</v>
      </c>
      <c r="R2684" s="204" t="s">
        <v>2276</v>
      </c>
      <c r="S2684" s="204" t="s">
        <v>2276</v>
      </c>
      <c r="T2684" s="21">
        <f>950*0.057</f>
        <v>54.15</v>
      </c>
      <c r="U2684" s="204" t="s">
        <v>2276</v>
      </c>
      <c r="V2684" s="204" t="s">
        <v>2276</v>
      </c>
      <c r="W2684" s="204" t="s">
        <v>2276</v>
      </c>
      <c r="X2684" s="21">
        <f>T2684/'Record info'!K$1138</f>
        <v>1.3719280466176842E-2</v>
      </c>
      <c r="Y2684" s="204" t="s">
        <v>2276</v>
      </c>
      <c r="Z2684" s="204" t="s">
        <v>68</v>
      </c>
      <c r="AA2684" s="204" t="s">
        <v>86</v>
      </c>
      <c r="AB2684" s="204" t="s">
        <v>76</v>
      </c>
      <c r="AC2684" s="204"/>
      <c r="AD2684" s="204"/>
    </row>
    <row r="2685" spans="1:30" ht="32" customHeight="1">
      <c r="A2685" s="19" t="s">
        <v>7390</v>
      </c>
      <c r="B2685" s="19" t="s">
        <v>7461</v>
      </c>
      <c r="C2685" s="204" t="s">
        <v>24</v>
      </c>
      <c r="D2685" s="204" t="s">
        <v>1242</v>
      </c>
      <c r="E2685" s="204" t="s">
        <v>3209</v>
      </c>
      <c r="F2685" s="152" t="s">
        <v>2276</v>
      </c>
      <c r="G2685" s="152" t="s">
        <v>2276</v>
      </c>
      <c r="H2685" s="204" t="s">
        <v>523</v>
      </c>
      <c r="I2685" s="204">
        <v>2008</v>
      </c>
      <c r="J2685" s="204" t="s">
        <v>2276</v>
      </c>
      <c r="K2685" s="204" t="s">
        <v>2276</v>
      </c>
      <c r="L2685" s="204" t="s">
        <v>2276</v>
      </c>
      <c r="M2685" s="204" t="s">
        <v>2276</v>
      </c>
      <c r="N2685" s="204" t="s">
        <v>2276</v>
      </c>
      <c r="O2685" s="204" t="s">
        <v>2276</v>
      </c>
      <c r="P2685" s="204" t="s">
        <v>2276</v>
      </c>
      <c r="Q2685" s="204" t="s">
        <v>2276</v>
      </c>
      <c r="R2685" s="204" t="s">
        <v>2276</v>
      </c>
      <c r="S2685" s="204" t="s">
        <v>2276</v>
      </c>
      <c r="T2685" s="21">
        <f>950*0.024</f>
        <v>22.8</v>
      </c>
      <c r="U2685" s="204" t="s">
        <v>2276</v>
      </c>
      <c r="V2685" s="204" t="s">
        <v>2276</v>
      </c>
      <c r="W2685" s="204" t="s">
        <v>2276</v>
      </c>
      <c r="X2685" s="21">
        <f>T2685/'Record info'!K$1139</f>
        <v>8.1196581196581203E-3</v>
      </c>
      <c r="Y2685" s="204" t="s">
        <v>2276</v>
      </c>
      <c r="Z2685" s="204" t="s">
        <v>68</v>
      </c>
      <c r="AA2685" s="204" t="s">
        <v>86</v>
      </c>
      <c r="AB2685" s="204" t="s">
        <v>76</v>
      </c>
      <c r="AC2685" s="204"/>
      <c r="AD2685" s="204"/>
    </row>
    <row r="2686" spans="1:30" ht="32" customHeight="1">
      <c r="A2686" s="19" t="s">
        <v>7391</v>
      </c>
      <c r="B2686" s="19" t="s">
        <v>7462</v>
      </c>
      <c r="C2686" s="204" t="s">
        <v>24</v>
      </c>
      <c r="D2686" s="204" t="s">
        <v>1242</v>
      </c>
      <c r="E2686" s="204" t="s">
        <v>3209</v>
      </c>
      <c r="F2686" s="152" t="s">
        <v>2276</v>
      </c>
      <c r="G2686" s="152" t="s">
        <v>2276</v>
      </c>
      <c r="H2686" s="204" t="s">
        <v>523</v>
      </c>
      <c r="I2686" s="204">
        <v>2008</v>
      </c>
      <c r="J2686" s="204" t="s">
        <v>2276</v>
      </c>
      <c r="K2686" s="204" t="s">
        <v>2276</v>
      </c>
      <c r="L2686" s="204" t="s">
        <v>2276</v>
      </c>
      <c r="M2686" s="204" t="s">
        <v>2276</v>
      </c>
      <c r="N2686" s="204" t="s">
        <v>2276</v>
      </c>
      <c r="O2686" s="204" t="s">
        <v>2276</v>
      </c>
      <c r="P2686" s="204" t="s">
        <v>2276</v>
      </c>
      <c r="Q2686" s="204" t="s">
        <v>2276</v>
      </c>
      <c r="R2686" s="204" t="s">
        <v>2276</v>
      </c>
      <c r="S2686" s="204" t="s">
        <v>2276</v>
      </c>
      <c r="T2686" s="21">
        <f>950*0.072</f>
        <v>68.399999999999991</v>
      </c>
      <c r="U2686" s="204" t="s">
        <v>2276</v>
      </c>
      <c r="V2686" s="204" t="s">
        <v>2276</v>
      </c>
      <c r="W2686" s="204" t="s">
        <v>2276</v>
      </c>
      <c r="X2686" s="21">
        <f>T2686/'Record info'!K$1140</f>
        <v>1.3660874775314557E-2</v>
      </c>
      <c r="Y2686" s="204" t="s">
        <v>2276</v>
      </c>
      <c r="Z2686" s="204" t="s">
        <v>68</v>
      </c>
      <c r="AA2686" s="204" t="s">
        <v>86</v>
      </c>
      <c r="AB2686" s="204" t="s">
        <v>76</v>
      </c>
      <c r="AC2686" s="204"/>
      <c r="AD2686" s="204"/>
    </row>
    <row r="2687" spans="1:30" ht="32" customHeight="1">
      <c r="A2687" s="19" t="s">
        <v>7392</v>
      </c>
      <c r="B2687" s="19" t="s">
        <v>7463</v>
      </c>
      <c r="C2687" s="204" t="s">
        <v>24</v>
      </c>
      <c r="D2687" s="204" t="s">
        <v>1242</v>
      </c>
      <c r="E2687" s="204" t="s">
        <v>3209</v>
      </c>
      <c r="F2687" s="152" t="s">
        <v>2276</v>
      </c>
      <c r="G2687" s="152" t="s">
        <v>2276</v>
      </c>
      <c r="H2687" s="204" t="s">
        <v>523</v>
      </c>
      <c r="I2687" s="204">
        <v>2008</v>
      </c>
      <c r="J2687" s="204" t="s">
        <v>2276</v>
      </c>
      <c r="K2687" s="204" t="s">
        <v>2276</v>
      </c>
      <c r="L2687" s="204" t="s">
        <v>2276</v>
      </c>
      <c r="M2687" s="204" t="s">
        <v>2276</v>
      </c>
      <c r="N2687" s="204" t="s">
        <v>2276</v>
      </c>
      <c r="O2687" s="204" t="s">
        <v>2276</v>
      </c>
      <c r="P2687" s="204" t="s">
        <v>2276</v>
      </c>
      <c r="Q2687" s="204" t="s">
        <v>2276</v>
      </c>
      <c r="R2687" s="204" t="s">
        <v>2276</v>
      </c>
      <c r="S2687" s="204" t="s">
        <v>2276</v>
      </c>
      <c r="T2687" s="21">
        <f>950*0.068</f>
        <v>64.600000000000009</v>
      </c>
      <c r="U2687" s="204" t="s">
        <v>2276</v>
      </c>
      <c r="V2687" s="204" t="s">
        <v>2276</v>
      </c>
      <c r="W2687" s="204" t="s">
        <v>2276</v>
      </c>
      <c r="X2687" s="21">
        <f>T2687/'Record info'!K$1141</f>
        <v>5.5025553662691656E-2</v>
      </c>
      <c r="Y2687" s="204" t="s">
        <v>2276</v>
      </c>
      <c r="Z2687" s="204" t="s">
        <v>68</v>
      </c>
      <c r="AA2687" s="204" t="s">
        <v>86</v>
      </c>
      <c r="AB2687" s="204" t="s">
        <v>76</v>
      </c>
      <c r="AC2687" s="204"/>
      <c r="AD2687" s="204"/>
    </row>
    <row r="2688" spans="1:30" ht="32" customHeight="1">
      <c r="A2688" s="19" t="s">
        <v>7393</v>
      </c>
      <c r="B2688" s="19" t="s">
        <v>7464</v>
      </c>
      <c r="C2688" s="204" t="s">
        <v>24</v>
      </c>
      <c r="D2688" s="204" t="s">
        <v>1242</v>
      </c>
      <c r="E2688" s="204" t="s">
        <v>3209</v>
      </c>
      <c r="F2688" s="152" t="s">
        <v>2276</v>
      </c>
      <c r="G2688" s="152" t="s">
        <v>2276</v>
      </c>
      <c r="H2688" s="204" t="s">
        <v>523</v>
      </c>
      <c r="I2688" s="204">
        <v>2008</v>
      </c>
      <c r="J2688" s="204" t="s">
        <v>2276</v>
      </c>
      <c r="K2688" s="204" t="s">
        <v>2276</v>
      </c>
      <c r="L2688" s="204" t="s">
        <v>2276</v>
      </c>
      <c r="M2688" s="204" t="s">
        <v>2276</v>
      </c>
      <c r="N2688" s="204" t="s">
        <v>2276</v>
      </c>
      <c r="O2688" s="204" t="s">
        <v>2276</v>
      </c>
      <c r="P2688" s="204" t="s">
        <v>2276</v>
      </c>
      <c r="Q2688" s="204" t="s">
        <v>2276</v>
      </c>
      <c r="R2688" s="204" t="s">
        <v>2276</v>
      </c>
      <c r="S2688" s="204" t="s">
        <v>2276</v>
      </c>
      <c r="T2688" s="21">
        <f>950*0.075</f>
        <v>71.25</v>
      </c>
      <c r="U2688" s="204" t="s">
        <v>2276</v>
      </c>
      <c r="V2688" s="204" t="s">
        <v>2276</v>
      </c>
      <c r="W2688" s="204" t="s">
        <v>2276</v>
      </c>
      <c r="X2688" s="21">
        <f>T2688/'Record info'!K$1142</f>
        <v>1.6462569316081331E-2</v>
      </c>
      <c r="Y2688" s="204" t="s">
        <v>2276</v>
      </c>
      <c r="Z2688" s="204" t="s">
        <v>68</v>
      </c>
      <c r="AA2688" s="204" t="s">
        <v>86</v>
      </c>
      <c r="AB2688" s="204" t="s">
        <v>76</v>
      </c>
      <c r="AC2688" s="204"/>
      <c r="AD2688" s="204"/>
    </row>
    <row r="2689" spans="1:30" ht="32" customHeight="1">
      <c r="A2689" s="19" t="s">
        <v>7394</v>
      </c>
      <c r="B2689" s="19" t="s">
        <v>7465</v>
      </c>
      <c r="C2689" s="204" t="s">
        <v>24</v>
      </c>
      <c r="D2689" s="204" t="s">
        <v>1242</v>
      </c>
      <c r="E2689" s="204" t="s">
        <v>3209</v>
      </c>
      <c r="F2689" s="152" t="s">
        <v>2276</v>
      </c>
      <c r="G2689" s="152" t="s">
        <v>2276</v>
      </c>
      <c r="H2689" s="204" t="s">
        <v>523</v>
      </c>
      <c r="I2689" s="204">
        <v>2008</v>
      </c>
      <c r="J2689" s="204" t="s">
        <v>2276</v>
      </c>
      <c r="K2689" s="204" t="s">
        <v>2276</v>
      </c>
      <c r="L2689" s="204" t="s">
        <v>2276</v>
      </c>
      <c r="M2689" s="204" t="s">
        <v>2276</v>
      </c>
      <c r="N2689" s="204" t="s">
        <v>2276</v>
      </c>
      <c r="O2689" s="204" t="s">
        <v>2276</v>
      </c>
      <c r="P2689" s="204" t="s">
        <v>2276</v>
      </c>
      <c r="Q2689" s="204" t="s">
        <v>2276</v>
      </c>
      <c r="R2689" s="204" t="s">
        <v>2276</v>
      </c>
      <c r="S2689" s="204" t="s">
        <v>2276</v>
      </c>
      <c r="T2689" s="21">
        <f>950*0.111</f>
        <v>105.45</v>
      </c>
      <c r="U2689" s="204" t="s">
        <v>2276</v>
      </c>
      <c r="V2689" s="204" t="s">
        <v>2276</v>
      </c>
      <c r="W2689" s="204" t="s">
        <v>2276</v>
      </c>
      <c r="X2689" s="21">
        <f>T2689/'Record info'!K$1143</f>
        <v>4.4029227557411274E-2</v>
      </c>
      <c r="Y2689" s="204" t="s">
        <v>2276</v>
      </c>
      <c r="Z2689" s="204" t="s">
        <v>68</v>
      </c>
      <c r="AA2689" s="204" t="s">
        <v>86</v>
      </c>
      <c r="AB2689" s="204" t="s">
        <v>76</v>
      </c>
      <c r="AC2689" s="204"/>
      <c r="AD2689" s="204"/>
    </row>
    <row r="2690" spans="1:30" ht="32" customHeight="1">
      <c r="A2690" s="19" t="s">
        <v>7395</v>
      </c>
      <c r="B2690" s="19" t="s">
        <v>7466</v>
      </c>
      <c r="C2690" s="204" t="s">
        <v>24</v>
      </c>
      <c r="D2690" s="204" t="s">
        <v>1242</v>
      </c>
      <c r="E2690" s="204" t="s">
        <v>3209</v>
      </c>
      <c r="F2690" s="152" t="s">
        <v>2276</v>
      </c>
      <c r="G2690" s="152" t="s">
        <v>2276</v>
      </c>
      <c r="H2690" s="204" t="s">
        <v>523</v>
      </c>
      <c r="I2690" s="204">
        <v>2008</v>
      </c>
      <c r="J2690" s="204" t="s">
        <v>2276</v>
      </c>
      <c r="K2690" s="204" t="s">
        <v>2276</v>
      </c>
      <c r="L2690" s="204" t="s">
        <v>2276</v>
      </c>
      <c r="M2690" s="204" t="s">
        <v>2276</v>
      </c>
      <c r="N2690" s="204" t="s">
        <v>2276</v>
      </c>
      <c r="O2690" s="204" t="s">
        <v>2276</v>
      </c>
      <c r="P2690" s="204" t="s">
        <v>2276</v>
      </c>
      <c r="Q2690" s="204" t="s">
        <v>2276</v>
      </c>
      <c r="R2690" s="204" t="s">
        <v>2276</v>
      </c>
      <c r="S2690" s="204" t="s">
        <v>2276</v>
      </c>
      <c r="T2690" s="21">
        <f>950*0.106</f>
        <v>100.7</v>
      </c>
      <c r="U2690" s="204" t="s">
        <v>2276</v>
      </c>
      <c r="V2690" s="204" t="s">
        <v>2276</v>
      </c>
      <c r="W2690" s="204" t="s">
        <v>2276</v>
      </c>
      <c r="X2690" s="21">
        <f>T2690/'Record info'!K$1144</f>
        <v>3.767302656191545E-2</v>
      </c>
      <c r="Y2690" s="204" t="s">
        <v>2276</v>
      </c>
      <c r="Z2690" s="204" t="s">
        <v>68</v>
      </c>
      <c r="AA2690" s="204" t="s">
        <v>86</v>
      </c>
      <c r="AB2690" s="204" t="s">
        <v>76</v>
      </c>
      <c r="AC2690" s="204"/>
      <c r="AD2690" s="204"/>
    </row>
    <row r="2691" spans="1:30" ht="35.5" customHeight="1">
      <c r="A2691" s="19" t="s">
        <v>7396</v>
      </c>
      <c r="B2691" s="19" t="s">
        <v>7485</v>
      </c>
      <c r="C2691" s="204" t="s">
        <v>24</v>
      </c>
      <c r="D2691" s="204" t="s">
        <v>1242</v>
      </c>
      <c r="E2691" s="204" t="s">
        <v>3209</v>
      </c>
      <c r="F2691" s="152" t="s">
        <v>2276</v>
      </c>
      <c r="G2691" s="152" t="s">
        <v>2276</v>
      </c>
      <c r="H2691" s="204" t="s">
        <v>523</v>
      </c>
      <c r="I2691" s="204">
        <v>2008</v>
      </c>
      <c r="J2691" s="204" t="s">
        <v>2276</v>
      </c>
      <c r="K2691" s="204" t="s">
        <v>2276</v>
      </c>
      <c r="L2691" s="204" t="s">
        <v>2276</v>
      </c>
      <c r="M2691" s="204" t="s">
        <v>2276</v>
      </c>
      <c r="N2691" s="204" t="s">
        <v>2276</v>
      </c>
      <c r="O2691" s="204" t="s">
        <v>2276</v>
      </c>
      <c r="P2691" s="204" t="s">
        <v>2276</v>
      </c>
      <c r="Q2691" s="204" t="s">
        <v>2276</v>
      </c>
      <c r="R2691" s="204" t="s">
        <v>2276</v>
      </c>
      <c r="S2691" s="204" t="s">
        <v>2276</v>
      </c>
      <c r="T2691" s="21">
        <f>950*0.166</f>
        <v>157.70000000000002</v>
      </c>
      <c r="U2691" s="204" t="s">
        <v>2276</v>
      </c>
      <c r="V2691" s="204" t="s">
        <v>2276</v>
      </c>
      <c r="W2691" s="204" t="s">
        <v>2276</v>
      </c>
      <c r="X2691" s="21">
        <f>T2691/'Record info'!K$1145</f>
        <v>6.993348115299336E-2</v>
      </c>
      <c r="Y2691" s="204" t="s">
        <v>2276</v>
      </c>
      <c r="Z2691" s="204" t="s">
        <v>68</v>
      </c>
      <c r="AA2691" s="204" t="s">
        <v>86</v>
      </c>
      <c r="AB2691" s="204" t="s">
        <v>76</v>
      </c>
      <c r="AC2691" s="204"/>
      <c r="AD2691" s="204"/>
    </row>
    <row r="2692" spans="1:30" ht="29" customHeight="1">
      <c r="A2692" s="19" t="s">
        <v>7294</v>
      </c>
      <c r="B2692" s="19" t="s">
        <v>7467</v>
      </c>
      <c r="C2692" s="204" t="s">
        <v>24</v>
      </c>
      <c r="D2692" s="204" t="s">
        <v>1242</v>
      </c>
      <c r="E2692" s="204" t="s">
        <v>3209</v>
      </c>
      <c r="F2692" s="152" t="s">
        <v>2276</v>
      </c>
      <c r="G2692" s="152" t="s">
        <v>2276</v>
      </c>
      <c r="H2692" s="204" t="s">
        <v>523</v>
      </c>
      <c r="I2692" s="204">
        <v>2009</v>
      </c>
      <c r="J2692" s="204" t="s">
        <v>2276</v>
      </c>
      <c r="K2692" s="204" t="s">
        <v>2276</v>
      </c>
      <c r="L2692" s="204" t="s">
        <v>2276</v>
      </c>
      <c r="M2692" s="204" t="s">
        <v>2276</v>
      </c>
      <c r="N2692" s="204" t="s">
        <v>2276</v>
      </c>
      <c r="O2692" s="204" t="s">
        <v>2276</v>
      </c>
      <c r="P2692" s="204" t="s">
        <v>2276</v>
      </c>
      <c r="Q2692" s="204" t="s">
        <v>2276</v>
      </c>
      <c r="R2692" s="204" t="s">
        <v>2276</v>
      </c>
      <c r="S2692" s="204" t="s">
        <v>2276</v>
      </c>
      <c r="T2692" s="21">
        <f>1020*0.027</f>
        <v>27.54</v>
      </c>
      <c r="U2692" s="204" t="s">
        <v>2276</v>
      </c>
      <c r="V2692" s="204" t="s">
        <v>2276</v>
      </c>
      <c r="W2692" s="204" t="s">
        <v>2276</v>
      </c>
      <c r="X2692" s="21">
        <f>T2692/'Record info'!K$1128</f>
        <v>9.8357142857142862E-3</v>
      </c>
      <c r="Y2692" s="204" t="s">
        <v>2276</v>
      </c>
      <c r="Z2692" s="204" t="s">
        <v>68</v>
      </c>
      <c r="AA2692" s="204" t="s">
        <v>86</v>
      </c>
      <c r="AB2692" s="204" t="s">
        <v>76</v>
      </c>
      <c r="AC2692" s="204"/>
      <c r="AD2692" s="204"/>
    </row>
    <row r="2693" spans="1:30" ht="29" customHeight="1">
      <c r="A2693" s="19" t="s">
        <v>7380</v>
      </c>
      <c r="B2693" s="19" t="s">
        <v>7468</v>
      </c>
      <c r="C2693" s="204" t="s">
        <v>24</v>
      </c>
      <c r="D2693" s="204" t="s">
        <v>1242</v>
      </c>
      <c r="E2693" s="204" t="s">
        <v>3209</v>
      </c>
      <c r="F2693" s="152" t="s">
        <v>2276</v>
      </c>
      <c r="G2693" s="152" t="s">
        <v>2276</v>
      </c>
      <c r="H2693" s="204" t="s">
        <v>523</v>
      </c>
      <c r="I2693" s="204">
        <v>2009</v>
      </c>
      <c r="J2693" s="204" t="s">
        <v>2276</v>
      </c>
      <c r="K2693" s="204" t="s">
        <v>2276</v>
      </c>
      <c r="L2693" s="204" t="s">
        <v>2276</v>
      </c>
      <c r="M2693" s="204" t="s">
        <v>2276</v>
      </c>
      <c r="N2693" s="204" t="s">
        <v>2276</v>
      </c>
      <c r="O2693" s="204" t="s">
        <v>2276</v>
      </c>
      <c r="P2693" s="204" t="s">
        <v>2276</v>
      </c>
      <c r="Q2693" s="204" t="s">
        <v>2276</v>
      </c>
      <c r="R2693" s="204" t="s">
        <v>2276</v>
      </c>
      <c r="S2693" s="204" t="s">
        <v>2276</v>
      </c>
      <c r="T2693" s="21">
        <f>1020*0.041</f>
        <v>41.82</v>
      </c>
      <c r="U2693" s="204" t="s">
        <v>2276</v>
      </c>
      <c r="V2693" s="204" t="s">
        <v>2276</v>
      </c>
      <c r="W2693" s="204" t="s">
        <v>2276</v>
      </c>
      <c r="X2693" s="21">
        <f>T2693/'Record info'!K$1129</f>
        <v>1.1897581792318635E-2</v>
      </c>
      <c r="Y2693" s="204" t="s">
        <v>2276</v>
      </c>
      <c r="Z2693" s="204" t="s">
        <v>68</v>
      </c>
      <c r="AA2693" s="204" t="s">
        <v>86</v>
      </c>
      <c r="AB2693" s="204" t="s">
        <v>76</v>
      </c>
      <c r="AC2693" s="204"/>
      <c r="AD2693" s="204"/>
    </row>
    <row r="2694" spans="1:30" ht="29" customHeight="1">
      <c r="A2694" s="19" t="s">
        <v>7381</v>
      </c>
      <c r="B2694" s="19" t="s">
        <v>7469</v>
      </c>
      <c r="C2694" s="204" t="s">
        <v>24</v>
      </c>
      <c r="D2694" s="204" t="s">
        <v>1242</v>
      </c>
      <c r="E2694" s="204" t="s">
        <v>3209</v>
      </c>
      <c r="F2694" s="152" t="s">
        <v>2276</v>
      </c>
      <c r="G2694" s="152" t="s">
        <v>2276</v>
      </c>
      <c r="H2694" s="204" t="s">
        <v>523</v>
      </c>
      <c r="I2694" s="204">
        <v>2009</v>
      </c>
      <c r="J2694" s="204" t="s">
        <v>2276</v>
      </c>
      <c r="K2694" s="204" t="s">
        <v>2276</v>
      </c>
      <c r="L2694" s="204" t="s">
        <v>2276</v>
      </c>
      <c r="M2694" s="204" t="s">
        <v>2276</v>
      </c>
      <c r="N2694" s="204" t="s">
        <v>2276</v>
      </c>
      <c r="O2694" s="204" t="s">
        <v>2276</v>
      </c>
      <c r="P2694" s="204" t="s">
        <v>2276</v>
      </c>
      <c r="Q2694" s="204" t="s">
        <v>2276</v>
      </c>
      <c r="R2694" s="204" t="s">
        <v>2276</v>
      </c>
      <c r="S2694" s="204" t="s">
        <v>2276</v>
      </c>
      <c r="T2694" s="21">
        <f>1020*0.004</f>
        <v>4.08</v>
      </c>
      <c r="U2694" s="204" t="s">
        <v>2276</v>
      </c>
      <c r="V2694" s="204" t="s">
        <v>2276</v>
      </c>
      <c r="W2694" s="204" t="s">
        <v>2276</v>
      </c>
      <c r="X2694" s="21">
        <f>T2694/'Record info'!K$1130</f>
        <v>6.0471320586927529E-4</v>
      </c>
      <c r="Y2694" s="204" t="s">
        <v>2276</v>
      </c>
      <c r="Z2694" s="204" t="s">
        <v>68</v>
      </c>
      <c r="AA2694" s="204" t="s">
        <v>86</v>
      </c>
      <c r="AB2694" s="204" t="s">
        <v>76</v>
      </c>
      <c r="AC2694" s="204"/>
      <c r="AD2694" s="204"/>
    </row>
    <row r="2695" spans="1:30" ht="29" customHeight="1">
      <c r="A2695" s="19" t="s">
        <v>7382</v>
      </c>
      <c r="B2695" s="19" t="s">
        <v>7470</v>
      </c>
      <c r="C2695" s="204" t="s">
        <v>24</v>
      </c>
      <c r="D2695" s="204" t="s">
        <v>1242</v>
      </c>
      <c r="E2695" s="204" t="s">
        <v>3209</v>
      </c>
      <c r="F2695" s="152" t="s">
        <v>2276</v>
      </c>
      <c r="G2695" s="152" t="s">
        <v>2276</v>
      </c>
      <c r="H2695" s="204" t="s">
        <v>523</v>
      </c>
      <c r="I2695" s="204">
        <v>2009</v>
      </c>
      <c r="J2695" s="204" t="s">
        <v>2276</v>
      </c>
      <c r="K2695" s="204" t="s">
        <v>2276</v>
      </c>
      <c r="L2695" s="204" t="s">
        <v>2276</v>
      </c>
      <c r="M2695" s="204" t="s">
        <v>2276</v>
      </c>
      <c r="N2695" s="204" t="s">
        <v>2276</v>
      </c>
      <c r="O2695" s="204" t="s">
        <v>2276</v>
      </c>
      <c r="P2695" s="204" t="s">
        <v>2276</v>
      </c>
      <c r="Q2695" s="204" t="s">
        <v>2276</v>
      </c>
      <c r="R2695" s="204" t="s">
        <v>2276</v>
      </c>
      <c r="S2695" s="204" t="s">
        <v>2276</v>
      </c>
      <c r="T2695" s="21">
        <f>1020*0.004</f>
        <v>4.08</v>
      </c>
      <c r="U2695" s="204" t="s">
        <v>2276</v>
      </c>
      <c r="V2695" s="204" t="s">
        <v>2276</v>
      </c>
      <c r="W2695" s="204" t="s">
        <v>2276</v>
      </c>
      <c r="X2695" s="21">
        <f>T2695/'Record info'!K$1131</f>
        <v>8.0568720379146919E-4</v>
      </c>
      <c r="Y2695" s="204" t="s">
        <v>2276</v>
      </c>
      <c r="Z2695" s="204" t="s">
        <v>68</v>
      </c>
      <c r="AA2695" s="204" t="s">
        <v>86</v>
      </c>
      <c r="AB2695" s="204" t="s">
        <v>76</v>
      </c>
      <c r="AC2695" s="204"/>
      <c r="AD2695" s="204"/>
    </row>
    <row r="2696" spans="1:30" ht="29" customHeight="1">
      <c r="A2696" s="19" t="s">
        <v>7383</v>
      </c>
      <c r="B2696" s="19" t="s">
        <v>7471</v>
      </c>
      <c r="C2696" s="204" t="s">
        <v>24</v>
      </c>
      <c r="D2696" s="204" t="s">
        <v>1242</v>
      </c>
      <c r="E2696" s="204" t="s">
        <v>3209</v>
      </c>
      <c r="F2696" s="152" t="s">
        <v>2276</v>
      </c>
      <c r="G2696" s="152" t="s">
        <v>2276</v>
      </c>
      <c r="H2696" s="204" t="s">
        <v>524</v>
      </c>
      <c r="I2696" s="204">
        <v>2009</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f>T2696/'Record info'!K$1132</f>
        <v>0</v>
      </c>
      <c r="Y2696" s="204" t="s">
        <v>2276</v>
      </c>
      <c r="Z2696" s="204" t="s">
        <v>68</v>
      </c>
      <c r="AA2696" s="204" t="s">
        <v>86</v>
      </c>
      <c r="AB2696" s="204" t="s">
        <v>76</v>
      </c>
      <c r="AC2696" s="204"/>
      <c r="AD2696" s="204"/>
    </row>
    <row r="2697" spans="1:30" ht="29" customHeight="1">
      <c r="A2697" s="19" t="s">
        <v>7384</v>
      </c>
      <c r="B2697" s="19" t="s">
        <v>7472</v>
      </c>
      <c r="C2697" s="204" t="s">
        <v>24</v>
      </c>
      <c r="D2697" s="204" t="s">
        <v>1242</v>
      </c>
      <c r="E2697" s="204" t="s">
        <v>3209</v>
      </c>
      <c r="F2697" s="152" t="s">
        <v>2276</v>
      </c>
      <c r="G2697" s="152" t="s">
        <v>2276</v>
      </c>
      <c r="H2697" s="204" t="s">
        <v>524</v>
      </c>
      <c r="I2697" s="204">
        <v>2009</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info'!K$1133</f>
        <v>0</v>
      </c>
      <c r="Y2697" s="204" t="s">
        <v>2276</v>
      </c>
      <c r="Z2697" s="204" t="s">
        <v>68</v>
      </c>
      <c r="AA2697" s="204" t="s">
        <v>86</v>
      </c>
      <c r="AB2697" s="204" t="s">
        <v>76</v>
      </c>
      <c r="AC2697" s="204"/>
      <c r="AD2697" s="204"/>
    </row>
    <row r="2698" spans="1:30" ht="29" customHeight="1">
      <c r="A2698" s="19" t="s">
        <v>7385</v>
      </c>
      <c r="B2698" s="19" t="s">
        <v>7473</v>
      </c>
      <c r="C2698" s="204" t="s">
        <v>24</v>
      </c>
      <c r="D2698" s="204" t="s">
        <v>1242</v>
      </c>
      <c r="E2698" s="204" t="s">
        <v>3209</v>
      </c>
      <c r="F2698" s="152" t="s">
        <v>2276</v>
      </c>
      <c r="G2698" s="152" t="s">
        <v>2276</v>
      </c>
      <c r="H2698" s="204" t="s">
        <v>524</v>
      </c>
      <c r="I2698" s="204">
        <v>2009</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info'!K$1134</f>
        <v>0</v>
      </c>
      <c r="Y2698" s="204" t="s">
        <v>2276</v>
      </c>
      <c r="Z2698" s="204" t="s">
        <v>68</v>
      </c>
      <c r="AA2698" s="204" t="s">
        <v>86</v>
      </c>
      <c r="AB2698" s="204" t="s">
        <v>76</v>
      </c>
      <c r="AC2698" s="204"/>
      <c r="AD2698" s="204"/>
    </row>
    <row r="2699" spans="1:30" ht="29" customHeight="1">
      <c r="A2699" s="19" t="s">
        <v>7386</v>
      </c>
      <c r="B2699" s="19" t="s">
        <v>7474</v>
      </c>
      <c r="C2699" s="204" t="s">
        <v>24</v>
      </c>
      <c r="D2699" s="204" t="s">
        <v>1242</v>
      </c>
      <c r="E2699" s="204" t="s">
        <v>3209</v>
      </c>
      <c r="F2699" s="152" t="s">
        <v>2276</v>
      </c>
      <c r="G2699" s="152" t="s">
        <v>2276</v>
      </c>
      <c r="H2699" s="204" t="s">
        <v>523</v>
      </c>
      <c r="I2699" s="204">
        <v>2009</v>
      </c>
      <c r="J2699" s="204" t="s">
        <v>2276</v>
      </c>
      <c r="K2699" s="204" t="s">
        <v>2276</v>
      </c>
      <c r="L2699" s="204" t="s">
        <v>2276</v>
      </c>
      <c r="M2699" s="204" t="s">
        <v>2276</v>
      </c>
      <c r="N2699" s="204" t="s">
        <v>2276</v>
      </c>
      <c r="O2699" s="204" t="s">
        <v>2276</v>
      </c>
      <c r="P2699" s="204" t="s">
        <v>2276</v>
      </c>
      <c r="Q2699" s="204" t="s">
        <v>2276</v>
      </c>
      <c r="R2699" s="204" t="s">
        <v>2276</v>
      </c>
      <c r="S2699" s="204" t="s">
        <v>2276</v>
      </c>
      <c r="T2699" s="21">
        <f>1020*0.035</f>
        <v>35.700000000000003</v>
      </c>
      <c r="U2699" s="204" t="s">
        <v>2276</v>
      </c>
      <c r="V2699" s="204" t="s">
        <v>2276</v>
      </c>
      <c r="W2699" s="204" t="s">
        <v>2276</v>
      </c>
      <c r="X2699" s="21">
        <f>T2699/'Record info'!K$1135</f>
        <v>5.8862324814509485E-3</v>
      </c>
      <c r="Y2699" s="204" t="s">
        <v>2276</v>
      </c>
      <c r="Z2699" s="204" t="s">
        <v>68</v>
      </c>
      <c r="AA2699" s="204" t="s">
        <v>86</v>
      </c>
      <c r="AB2699" s="204" t="s">
        <v>76</v>
      </c>
      <c r="AC2699" s="204"/>
      <c r="AD2699" s="204"/>
    </row>
    <row r="2700" spans="1:30" ht="29" customHeight="1">
      <c r="A2700" s="19" t="s">
        <v>7387</v>
      </c>
      <c r="B2700" s="19" t="s">
        <v>7475</v>
      </c>
      <c r="C2700" s="204" t="s">
        <v>24</v>
      </c>
      <c r="D2700" s="204" t="s">
        <v>1242</v>
      </c>
      <c r="E2700" s="204" t="s">
        <v>3209</v>
      </c>
      <c r="F2700" s="152" t="s">
        <v>2276</v>
      </c>
      <c r="G2700" s="152" t="s">
        <v>2276</v>
      </c>
      <c r="H2700" s="204" t="s">
        <v>523</v>
      </c>
      <c r="I2700" s="204">
        <v>2009</v>
      </c>
      <c r="J2700" s="204" t="s">
        <v>2276</v>
      </c>
      <c r="K2700" s="204" t="s">
        <v>2276</v>
      </c>
      <c r="L2700" s="204" t="s">
        <v>2276</v>
      </c>
      <c r="M2700" s="204" t="s">
        <v>2276</v>
      </c>
      <c r="N2700" s="204" t="s">
        <v>2276</v>
      </c>
      <c r="O2700" s="204" t="s">
        <v>2276</v>
      </c>
      <c r="P2700" s="204" t="s">
        <v>2276</v>
      </c>
      <c r="Q2700" s="204" t="s">
        <v>2276</v>
      </c>
      <c r="R2700" s="204" t="s">
        <v>2276</v>
      </c>
      <c r="S2700" s="204" t="s">
        <v>2276</v>
      </c>
      <c r="T2700" s="21">
        <f>1020*0.079</f>
        <v>80.58</v>
      </c>
      <c r="U2700" s="204" t="s">
        <v>2276</v>
      </c>
      <c r="V2700" s="204" t="s">
        <v>2276</v>
      </c>
      <c r="W2700" s="204" t="s">
        <v>2276</v>
      </c>
      <c r="X2700" s="21">
        <f>T2700/'Record info'!K$1136</f>
        <v>1.207191011235955E-2</v>
      </c>
      <c r="Y2700" s="204" t="s">
        <v>2276</v>
      </c>
      <c r="Z2700" s="204" t="s">
        <v>68</v>
      </c>
      <c r="AA2700" s="204" t="s">
        <v>86</v>
      </c>
      <c r="AB2700" s="204" t="s">
        <v>76</v>
      </c>
      <c r="AC2700" s="204"/>
      <c r="AD2700" s="204"/>
    </row>
    <row r="2701" spans="1:30" ht="29" customHeight="1">
      <c r="A2701" s="19" t="s">
        <v>7388</v>
      </c>
      <c r="B2701" s="19" t="s">
        <v>7476</v>
      </c>
      <c r="C2701" s="204" t="s">
        <v>24</v>
      </c>
      <c r="D2701" s="204" t="s">
        <v>1242</v>
      </c>
      <c r="E2701" s="204" t="s">
        <v>3209</v>
      </c>
      <c r="F2701" s="152" t="s">
        <v>2276</v>
      </c>
      <c r="G2701" s="152" t="s">
        <v>2276</v>
      </c>
      <c r="H2701" s="204" t="s">
        <v>523</v>
      </c>
      <c r="I2701" s="204">
        <v>2009</v>
      </c>
      <c r="J2701" s="204" t="s">
        <v>2276</v>
      </c>
      <c r="K2701" s="204" t="s">
        <v>2276</v>
      </c>
      <c r="L2701" s="204" t="s">
        <v>2276</v>
      </c>
      <c r="M2701" s="204" t="s">
        <v>2276</v>
      </c>
      <c r="N2701" s="204" t="s">
        <v>2276</v>
      </c>
      <c r="O2701" s="204" t="s">
        <v>2276</v>
      </c>
      <c r="P2701" s="204" t="s">
        <v>2276</v>
      </c>
      <c r="Q2701" s="204" t="s">
        <v>2276</v>
      </c>
      <c r="R2701" s="204" t="s">
        <v>2276</v>
      </c>
      <c r="S2701" s="204" t="s">
        <v>2276</v>
      </c>
      <c r="T2701" s="21">
        <f>1020*0.132</f>
        <v>134.64000000000001</v>
      </c>
      <c r="U2701" s="204" t="s">
        <v>2276</v>
      </c>
      <c r="V2701" s="204" t="s">
        <v>2276</v>
      </c>
      <c r="W2701" s="204" t="s">
        <v>2276</v>
      </c>
      <c r="X2701" s="21">
        <f>T2701/'Record info'!K$1137</f>
        <v>2.4400144980065243E-2</v>
      </c>
      <c r="Y2701" s="204" t="s">
        <v>2276</v>
      </c>
      <c r="Z2701" s="204" t="s">
        <v>68</v>
      </c>
      <c r="AA2701" s="204" t="s">
        <v>86</v>
      </c>
      <c r="AB2701" s="204" t="s">
        <v>76</v>
      </c>
      <c r="AC2701" s="204"/>
      <c r="AD2701" s="204"/>
    </row>
    <row r="2702" spans="1:30" ht="29" customHeight="1">
      <c r="A2702" s="19" t="s">
        <v>7389</v>
      </c>
      <c r="B2702" s="19" t="s">
        <v>7477</v>
      </c>
      <c r="C2702" s="204" t="s">
        <v>24</v>
      </c>
      <c r="D2702" s="204" t="s">
        <v>1242</v>
      </c>
      <c r="E2702" s="204" t="s">
        <v>3209</v>
      </c>
      <c r="F2702" s="152" t="s">
        <v>2276</v>
      </c>
      <c r="G2702" s="152" t="s">
        <v>2276</v>
      </c>
      <c r="H2702" s="204" t="s">
        <v>523</v>
      </c>
      <c r="I2702" s="204">
        <v>2009</v>
      </c>
      <c r="J2702" s="204" t="s">
        <v>2276</v>
      </c>
      <c r="K2702" s="204" t="s">
        <v>2276</v>
      </c>
      <c r="L2702" s="204" t="s">
        <v>2276</v>
      </c>
      <c r="M2702" s="204" t="s">
        <v>2276</v>
      </c>
      <c r="N2702" s="204" t="s">
        <v>2276</v>
      </c>
      <c r="O2702" s="204" t="s">
        <v>2276</v>
      </c>
      <c r="P2702" s="204" t="s">
        <v>2276</v>
      </c>
      <c r="Q2702" s="204" t="s">
        <v>2276</v>
      </c>
      <c r="R2702" s="204" t="s">
        <v>2276</v>
      </c>
      <c r="S2702" s="204" t="s">
        <v>2276</v>
      </c>
      <c r="T2702" s="21">
        <f>1020*0.057</f>
        <v>58.14</v>
      </c>
      <c r="U2702" s="204" t="s">
        <v>2276</v>
      </c>
      <c r="V2702" s="204" t="s">
        <v>2276</v>
      </c>
      <c r="W2702" s="204" t="s">
        <v>2276</v>
      </c>
      <c r="X2702" s="21">
        <f>T2702/'Record info'!K$1138</f>
        <v>1.473017481631619E-2</v>
      </c>
      <c r="Y2702" s="204" t="s">
        <v>2276</v>
      </c>
      <c r="Z2702" s="204" t="s">
        <v>68</v>
      </c>
      <c r="AA2702" s="204" t="s">
        <v>86</v>
      </c>
      <c r="AB2702" s="204" t="s">
        <v>76</v>
      </c>
      <c r="AC2702" s="204"/>
      <c r="AD2702" s="204"/>
    </row>
    <row r="2703" spans="1:30" ht="29" customHeight="1">
      <c r="A2703" s="19" t="s">
        <v>7390</v>
      </c>
      <c r="B2703" s="19" t="s">
        <v>7478</v>
      </c>
      <c r="C2703" s="204" t="s">
        <v>24</v>
      </c>
      <c r="D2703" s="204" t="s">
        <v>1242</v>
      </c>
      <c r="E2703" s="204" t="s">
        <v>3209</v>
      </c>
      <c r="F2703" s="152" t="s">
        <v>2276</v>
      </c>
      <c r="G2703" s="152" t="s">
        <v>2276</v>
      </c>
      <c r="H2703" s="204" t="s">
        <v>523</v>
      </c>
      <c r="I2703" s="204">
        <v>2009</v>
      </c>
      <c r="J2703" s="204" t="s">
        <v>2276</v>
      </c>
      <c r="K2703" s="204" t="s">
        <v>2276</v>
      </c>
      <c r="L2703" s="204" t="s">
        <v>2276</v>
      </c>
      <c r="M2703" s="204" t="s">
        <v>2276</v>
      </c>
      <c r="N2703" s="204" t="s">
        <v>2276</v>
      </c>
      <c r="O2703" s="204" t="s">
        <v>2276</v>
      </c>
      <c r="P2703" s="204" t="s">
        <v>2276</v>
      </c>
      <c r="Q2703" s="204" t="s">
        <v>2276</v>
      </c>
      <c r="R2703" s="204" t="s">
        <v>2276</v>
      </c>
      <c r="S2703" s="204" t="s">
        <v>2276</v>
      </c>
      <c r="T2703" s="21">
        <f>1020*0.024</f>
        <v>24.48</v>
      </c>
      <c r="U2703" s="204" t="s">
        <v>2276</v>
      </c>
      <c r="V2703" s="204" t="s">
        <v>2276</v>
      </c>
      <c r="W2703" s="204" t="s">
        <v>2276</v>
      </c>
      <c r="X2703" s="21">
        <f>T2703/'Record info'!K$1139</f>
        <v>8.7179487179487175E-3</v>
      </c>
      <c r="Y2703" s="204" t="s">
        <v>2276</v>
      </c>
      <c r="Z2703" s="204" t="s">
        <v>68</v>
      </c>
      <c r="AA2703" s="204" t="s">
        <v>86</v>
      </c>
      <c r="AB2703" s="204" t="s">
        <v>76</v>
      </c>
      <c r="AC2703" s="204"/>
      <c r="AD2703" s="204"/>
    </row>
    <row r="2704" spans="1:30" ht="29" customHeight="1">
      <c r="A2704" s="19" t="s">
        <v>7391</v>
      </c>
      <c r="B2704" s="19" t="s">
        <v>7479</v>
      </c>
      <c r="C2704" s="204" t="s">
        <v>24</v>
      </c>
      <c r="D2704" s="204" t="s">
        <v>1242</v>
      </c>
      <c r="E2704" s="204" t="s">
        <v>3209</v>
      </c>
      <c r="F2704" s="152" t="s">
        <v>2276</v>
      </c>
      <c r="G2704" s="152" t="s">
        <v>2276</v>
      </c>
      <c r="H2704" s="204" t="s">
        <v>523</v>
      </c>
      <c r="I2704" s="204">
        <v>2009</v>
      </c>
      <c r="J2704" s="204" t="s">
        <v>2276</v>
      </c>
      <c r="K2704" s="204" t="s">
        <v>2276</v>
      </c>
      <c r="L2704" s="204" t="s">
        <v>2276</v>
      </c>
      <c r="M2704" s="204" t="s">
        <v>2276</v>
      </c>
      <c r="N2704" s="204" t="s">
        <v>2276</v>
      </c>
      <c r="O2704" s="204" t="s">
        <v>2276</v>
      </c>
      <c r="P2704" s="204" t="s">
        <v>2276</v>
      </c>
      <c r="Q2704" s="204" t="s">
        <v>2276</v>
      </c>
      <c r="R2704" s="204" t="s">
        <v>2276</v>
      </c>
      <c r="S2704" s="204" t="s">
        <v>2276</v>
      </c>
      <c r="T2704" s="21">
        <f>1020*0.072</f>
        <v>73.44</v>
      </c>
      <c r="U2704" s="204" t="s">
        <v>2276</v>
      </c>
      <c r="V2704" s="204" t="s">
        <v>2276</v>
      </c>
      <c r="W2704" s="204" t="s">
        <v>2276</v>
      </c>
      <c r="X2704" s="21">
        <f>T2704/'Record info'!K$1140</f>
        <v>1.4667465548232474E-2</v>
      </c>
      <c r="Y2704" s="204" t="s">
        <v>2276</v>
      </c>
      <c r="Z2704" s="204" t="s">
        <v>68</v>
      </c>
      <c r="AA2704" s="204" t="s">
        <v>86</v>
      </c>
      <c r="AB2704" s="204" t="s">
        <v>76</v>
      </c>
      <c r="AC2704" s="204"/>
      <c r="AD2704" s="204"/>
    </row>
    <row r="2705" spans="1:30" ht="29" customHeight="1">
      <c r="A2705" s="19" t="s">
        <v>7392</v>
      </c>
      <c r="B2705" s="19" t="s">
        <v>7480</v>
      </c>
      <c r="C2705" s="204" t="s">
        <v>24</v>
      </c>
      <c r="D2705" s="204" t="s">
        <v>1242</v>
      </c>
      <c r="E2705" s="204" t="s">
        <v>3209</v>
      </c>
      <c r="F2705" s="152" t="s">
        <v>2276</v>
      </c>
      <c r="G2705" s="152" t="s">
        <v>2276</v>
      </c>
      <c r="H2705" s="204" t="s">
        <v>523</v>
      </c>
      <c r="I2705" s="204">
        <v>2009</v>
      </c>
      <c r="J2705" s="204" t="s">
        <v>2276</v>
      </c>
      <c r="K2705" s="204" t="s">
        <v>2276</v>
      </c>
      <c r="L2705" s="204" t="s">
        <v>2276</v>
      </c>
      <c r="M2705" s="204" t="s">
        <v>2276</v>
      </c>
      <c r="N2705" s="204" t="s">
        <v>2276</v>
      </c>
      <c r="O2705" s="204" t="s">
        <v>2276</v>
      </c>
      <c r="P2705" s="204" t="s">
        <v>2276</v>
      </c>
      <c r="Q2705" s="204" t="s">
        <v>2276</v>
      </c>
      <c r="R2705" s="204" t="s">
        <v>2276</v>
      </c>
      <c r="S2705" s="204" t="s">
        <v>2276</v>
      </c>
      <c r="T2705" s="21">
        <f>1020*0.068</f>
        <v>69.36</v>
      </c>
      <c r="U2705" s="204" t="s">
        <v>2276</v>
      </c>
      <c r="V2705" s="204" t="s">
        <v>2276</v>
      </c>
      <c r="W2705" s="204" t="s">
        <v>2276</v>
      </c>
      <c r="X2705" s="21">
        <f>T2705/'Record info'!K$1141</f>
        <v>5.908006814310051E-2</v>
      </c>
      <c r="Y2705" s="204" t="s">
        <v>2276</v>
      </c>
      <c r="Z2705" s="204" t="s">
        <v>68</v>
      </c>
      <c r="AA2705" s="204" t="s">
        <v>86</v>
      </c>
      <c r="AB2705" s="204" t="s">
        <v>76</v>
      </c>
      <c r="AC2705" s="204"/>
      <c r="AD2705" s="204"/>
    </row>
    <row r="2706" spans="1:30" ht="29" customHeight="1">
      <c r="A2706" s="19" t="s">
        <v>7393</v>
      </c>
      <c r="B2706" s="19" t="s">
        <v>7481</v>
      </c>
      <c r="C2706" s="204" t="s">
        <v>24</v>
      </c>
      <c r="D2706" s="204" t="s">
        <v>1242</v>
      </c>
      <c r="E2706" s="204" t="s">
        <v>3209</v>
      </c>
      <c r="F2706" s="152" t="s">
        <v>2276</v>
      </c>
      <c r="G2706" s="152" t="s">
        <v>2276</v>
      </c>
      <c r="H2706" s="204" t="s">
        <v>523</v>
      </c>
      <c r="I2706" s="204">
        <v>2009</v>
      </c>
      <c r="J2706" s="204" t="s">
        <v>2276</v>
      </c>
      <c r="K2706" s="204" t="s">
        <v>2276</v>
      </c>
      <c r="L2706" s="204" t="s">
        <v>2276</v>
      </c>
      <c r="M2706" s="204" t="s">
        <v>2276</v>
      </c>
      <c r="N2706" s="204" t="s">
        <v>2276</v>
      </c>
      <c r="O2706" s="204" t="s">
        <v>2276</v>
      </c>
      <c r="P2706" s="204" t="s">
        <v>2276</v>
      </c>
      <c r="Q2706" s="204" t="s">
        <v>2276</v>
      </c>
      <c r="R2706" s="204" t="s">
        <v>2276</v>
      </c>
      <c r="S2706" s="204" t="s">
        <v>2276</v>
      </c>
      <c r="T2706" s="21">
        <f>1020*0.075</f>
        <v>76.5</v>
      </c>
      <c r="U2706" s="204" t="s">
        <v>2276</v>
      </c>
      <c r="V2706" s="204" t="s">
        <v>2276</v>
      </c>
      <c r="W2706" s="204" t="s">
        <v>2276</v>
      </c>
      <c r="X2706" s="21">
        <f>T2706/'Record info'!K$1142</f>
        <v>1.7675600739371536E-2</v>
      </c>
      <c r="Y2706" s="204" t="s">
        <v>2276</v>
      </c>
      <c r="Z2706" s="204" t="s">
        <v>68</v>
      </c>
      <c r="AA2706" s="204" t="s">
        <v>86</v>
      </c>
      <c r="AB2706" s="204" t="s">
        <v>76</v>
      </c>
      <c r="AC2706" s="204"/>
      <c r="AD2706" s="204"/>
    </row>
    <row r="2707" spans="1:30" ht="29" customHeight="1">
      <c r="A2707" s="19" t="s">
        <v>7394</v>
      </c>
      <c r="B2707" s="19" t="s">
        <v>7482</v>
      </c>
      <c r="C2707" s="204" t="s">
        <v>24</v>
      </c>
      <c r="D2707" s="204" t="s">
        <v>1242</v>
      </c>
      <c r="E2707" s="204" t="s">
        <v>3209</v>
      </c>
      <c r="F2707" s="152" t="s">
        <v>2276</v>
      </c>
      <c r="G2707" s="152" t="s">
        <v>2276</v>
      </c>
      <c r="H2707" s="204" t="s">
        <v>523</v>
      </c>
      <c r="I2707" s="204">
        <v>2009</v>
      </c>
      <c r="J2707" s="204" t="s">
        <v>2276</v>
      </c>
      <c r="K2707" s="204" t="s">
        <v>2276</v>
      </c>
      <c r="L2707" s="204" t="s">
        <v>2276</v>
      </c>
      <c r="M2707" s="204" t="s">
        <v>2276</v>
      </c>
      <c r="N2707" s="204" t="s">
        <v>2276</v>
      </c>
      <c r="O2707" s="204" t="s">
        <v>2276</v>
      </c>
      <c r="P2707" s="204" t="s">
        <v>2276</v>
      </c>
      <c r="Q2707" s="204" t="s">
        <v>2276</v>
      </c>
      <c r="R2707" s="204" t="s">
        <v>2276</v>
      </c>
      <c r="S2707" s="204" t="s">
        <v>2276</v>
      </c>
      <c r="T2707" s="21">
        <f>1020*0.111</f>
        <v>113.22</v>
      </c>
      <c r="U2707" s="204" t="s">
        <v>2276</v>
      </c>
      <c r="V2707" s="204" t="s">
        <v>2276</v>
      </c>
      <c r="W2707" s="204" t="s">
        <v>2276</v>
      </c>
      <c r="X2707" s="21">
        <f>T2707/'Record info'!K$1143</f>
        <v>4.7273486430062628E-2</v>
      </c>
      <c r="Y2707" s="204" t="s">
        <v>2276</v>
      </c>
      <c r="Z2707" s="204" t="s">
        <v>68</v>
      </c>
      <c r="AA2707" s="204" t="s">
        <v>86</v>
      </c>
      <c r="AB2707" s="204" t="s">
        <v>76</v>
      </c>
      <c r="AC2707" s="204"/>
      <c r="AD2707" s="204"/>
    </row>
    <row r="2708" spans="1:30" ht="29" customHeight="1">
      <c r="A2708" s="19" t="s">
        <v>7395</v>
      </c>
      <c r="B2708" s="19" t="s">
        <v>7483</v>
      </c>
      <c r="C2708" s="204" t="s">
        <v>24</v>
      </c>
      <c r="D2708" s="204" t="s">
        <v>1242</v>
      </c>
      <c r="E2708" s="204" t="s">
        <v>3209</v>
      </c>
      <c r="F2708" s="152" t="s">
        <v>2276</v>
      </c>
      <c r="G2708" s="152" t="s">
        <v>2276</v>
      </c>
      <c r="H2708" s="204" t="s">
        <v>523</v>
      </c>
      <c r="I2708" s="204">
        <v>2009</v>
      </c>
      <c r="J2708" s="204" t="s">
        <v>2276</v>
      </c>
      <c r="K2708" s="204" t="s">
        <v>2276</v>
      </c>
      <c r="L2708" s="204" t="s">
        <v>2276</v>
      </c>
      <c r="M2708" s="204" t="s">
        <v>2276</v>
      </c>
      <c r="N2708" s="204" t="s">
        <v>2276</v>
      </c>
      <c r="O2708" s="204" t="s">
        <v>2276</v>
      </c>
      <c r="P2708" s="204" t="s">
        <v>2276</v>
      </c>
      <c r="Q2708" s="204" t="s">
        <v>2276</v>
      </c>
      <c r="R2708" s="204" t="s">
        <v>2276</v>
      </c>
      <c r="S2708" s="204" t="s">
        <v>2276</v>
      </c>
      <c r="T2708" s="21">
        <f>1020*0.106</f>
        <v>108.11999999999999</v>
      </c>
      <c r="U2708" s="204" t="s">
        <v>2276</v>
      </c>
      <c r="V2708" s="204" t="s">
        <v>2276</v>
      </c>
      <c r="W2708" s="204" t="s">
        <v>2276</v>
      </c>
      <c r="X2708" s="21">
        <f>T2708/'Record info'!K$1144</f>
        <v>4.0448933782267112E-2</v>
      </c>
      <c r="Y2708" s="204" t="s">
        <v>2276</v>
      </c>
      <c r="Z2708" s="204" t="s">
        <v>68</v>
      </c>
      <c r="AA2708" s="204" t="s">
        <v>86</v>
      </c>
      <c r="AB2708" s="204" t="s">
        <v>76</v>
      </c>
      <c r="AC2708" s="204"/>
      <c r="AD2708" s="204"/>
    </row>
    <row r="2709" spans="1:30" ht="29" customHeight="1">
      <c r="A2709" s="19" t="s">
        <v>7396</v>
      </c>
      <c r="B2709" s="19" t="s">
        <v>7486</v>
      </c>
      <c r="C2709" s="204" t="s">
        <v>24</v>
      </c>
      <c r="D2709" s="204" t="s">
        <v>1242</v>
      </c>
      <c r="E2709" s="204" t="s">
        <v>3209</v>
      </c>
      <c r="F2709" s="152" t="s">
        <v>2276</v>
      </c>
      <c r="G2709" s="152" t="s">
        <v>2276</v>
      </c>
      <c r="H2709" s="204" t="s">
        <v>523</v>
      </c>
      <c r="I2709" s="204">
        <v>2009</v>
      </c>
      <c r="J2709" s="204" t="s">
        <v>2276</v>
      </c>
      <c r="K2709" s="204" t="s">
        <v>2276</v>
      </c>
      <c r="L2709" s="204" t="s">
        <v>2276</v>
      </c>
      <c r="M2709" s="204" t="s">
        <v>2276</v>
      </c>
      <c r="N2709" s="204" t="s">
        <v>2276</v>
      </c>
      <c r="O2709" s="204" t="s">
        <v>2276</v>
      </c>
      <c r="P2709" s="204" t="s">
        <v>2276</v>
      </c>
      <c r="Q2709" s="204" t="s">
        <v>2276</v>
      </c>
      <c r="R2709" s="204" t="s">
        <v>2276</v>
      </c>
      <c r="S2709" s="204" t="s">
        <v>2276</v>
      </c>
      <c r="T2709" s="21">
        <f>1020*0.166</f>
        <v>169.32000000000002</v>
      </c>
      <c r="U2709" s="204" t="s">
        <v>2276</v>
      </c>
      <c r="V2709" s="204" t="s">
        <v>2276</v>
      </c>
      <c r="W2709" s="204" t="s">
        <v>2276</v>
      </c>
      <c r="X2709" s="21">
        <f>T2709/'Record info'!K$1145</f>
        <v>7.5086474501108655E-2</v>
      </c>
      <c r="Y2709" s="204" t="s">
        <v>2276</v>
      </c>
      <c r="Z2709" s="204" t="s">
        <v>68</v>
      </c>
      <c r="AA2709" s="204" t="s">
        <v>86</v>
      </c>
      <c r="AB2709" s="204" t="s">
        <v>76</v>
      </c>
      <c r="AC2709" s="204"/>
      <c r="AD2709" s="204"/>
    </row>
    <row r="2710" spans="1:30" s="122" customFormat="1" ht="29" customHeight="1">
      <c r="A2710" s="19" t="s">
        <v>7294</v>
      </c>
      <c r="B2710" s="19" t="s">
        <v>7484</v>
      </c>
      <c r="C2710" s="204" t="s">
        <v>24</v>
      </c>
      <c r="D2710" s="204" t="s">
        <v>1242</v>
      </c>
      <c r="E2710" s="204" t="s">
        <v>3209</v>
      </c>
      <c r="F2710" s="152" t="s">
        <v>2276</v>
      </c>
      <c r="G2710" s="152" t="s">
        <v>2276</v>
      </c>
      <c r="H2710" s="204" t="s">
        <v>523</v>
      </c>
      <c r="I2710" s="204">
        <v>2010</v>
      </c>
      <c r="J2710" s="204" t="s">
        <v>2276</v>
      </c>
      <c r="K2710" s="204" t="s">
        <v>2276</v>
      </c>
      <c r="L2710" s="204" t="s">
        <v>2276</v>
      </c>
      <c r="M2710" s="204" t="s">
        <v>2276</v>
      </c>
      <c r="N2710" s="204" t="s">
        <v>2276</v>
      </c>
      <c r="O2710" s="204" t="s">
        <v>2276</v>
      </c>
      <c r="P2710" s="204" t="s">
        <v>2276</v>
      </c>
      <c r="Q2710" s="204" t="s">
        <v>2276</v>
      </c>
      <c r="R2710" s="204" t="s">
        <v>2276</v>
      </c>
      <c r="S2710" s="204" t="s">
        <v>2276</v>
      </c>
      <c r="T2710" s="21">
        <f>2500*0.027</f>
        <v>67.5</v>
      </c>
      <c r="U2710" s="204" t="s">
        <v>2276</v>
      </c>
      <c r="V2710" s="204" t="s">
        <v>2276</v>
      </c>
      <c r="W2710" s="204" t="s">
        <v>2276</v>
      </c>
      <c r="X2710" s="21">
        <f>T2710/'Record info'!K$1128</f>
        <v>2.4107142857142858E-2</v>
      </c>
      <c r="Y2710" s="204" t="s">
        <v>2276</v>
      </c>
      <c r="Z2710" s="204" t="s">
        <v>68</v>
      </c>
      <c r="AA2710" s="204" t="s">
        <v>86</v>
      </c>
      <c r="AB2710" s="204" t="s">
        <v>76</v>
      </c>
      <c r="AC2710" s="204"/>
      <c r="AD2710" s="204"/>
    </row>
    <row r="2711" spans="1:30" s="122" customFormat="1" ht="29" customHeight="1">
      <c r="A2711" s="19" t="s">
        <v>7380</v>
      </c>
      <c r="B2711" s="19" t="s">
        <v>7487</v>
      </c>
      <c r="C2711" s="204" t="s">
        <v>24</v>
      </c>
      <c r="D2711" s="204" t="s">
        <v>1242</v>
      </c>
      <c r="E2711" s="204" t="s">
        <v>3209</v>
      </c>
      <c r="F2711" s="152" t="s">
        <v>2276</v>
      </c>
      <c r="G2711" s="152" t="s">
        <v>2276</v>
      </c>
      <c r="H2711" s="204" t="s">
        <v>523</v>
      </c>
      <c r="I2711" s="204">
        <v>2010</v>
      </c>
      <c r="J2711" s="204" t="s">
        <v>2276</v>
      </c>
      <c r="K2711" s="204" t="s">
        <v>2276</v>
      </c>
      <c r="L2711" s="204" t="s">
        <v>2276</v>
      </c>
      <c r="M2711" s="204" t="s">
        <v>2276</v>
      </c>
      <c r="N2711" s="204" t="s">
        <v>2276</v>
      </c>
      <c r="O2711" s="204" t="s">
        <v>2276</v>
      </c>
      <c r="P2711" s="204" t="s">
        <v>2276</v>
      </c>
      <c r="Q2711" s="204" t="s">
        <v>2276</v>
      </c>
      <c r="R2711" s="204" t="s">
        <v>2276</v>
      </c>
      <c r="S2711" s="204" t="s">
        <v>2276</v>
      </c>
      <c r="T2711" s="21">
        <f>2500*0.041</f>
        <v>102.5</v>
      </c>
      <c r="U2711" s="204" t="s">
        <v>2276</v>
      </c>
      <c r="V2711" s="204" t="s">
        <v>2276</v>
      </c>
      <c r="W2711" s="204" t="s">
        <v>2276</v>
      </c>
      <c r="X2711" s="21">
        <f>T2711/'Record info'!K$1129</f>
        <v>2.9160739687055477E-2</v>
      </c>
      <c r="Y2711" s="204" t="s">
        <v>2276</v>
      </c>
      <c r="Z2711" s="204" t="s">
        <v>68</v>
      </c>
      <c r="AA2711" s="204" t="s">
        <v>86</v>
      </c>
      <c r="AB2711" s="204" t="s">
        <v>76</v>
      </c>
      <c r="AC2711" s="204"/>
      <c r="AD2711" s="204"/>
    </row>
    <row r="2712" spans="1:30" s="122" customFormat="1" ht="29" customHeight="1">
      <c r="A2712" s="19" t="s">
        <v>7381</v>
      </c>
      <c r="B2712" s="19" t="s">
        <v>7488</v>
      </c>
      <c r="C2712" s="204" t="s">
        <v>24</v>
      </c>
      <c r="D2712" s="204" t="s">
        <v>1242</v>
      </c>
      <c r="E2712" s="204" t="s">
        <v>3209</v>
      </c>
      <c r="F2712" s="152" t="s">
        <v>2276</v>
      </c>
      <c r="G2712" s="152" t="s">
        <v>2276</v>
      </c>
      <c r="H2712" s="204" t="s">
        <v>523</v>
      </c>
      <c r="I2712" s="204">
        <v>2010</v>
      </c>
      <c r="J2712" s="204" t="s">
        <v>2276</v>
      </c>
      <c r="K2712" s="204" t="s">
        <v>2276</v>
      </c>
      <c r="L2712" s="204" t="s">
        <v>2276</v>
      </c>
      <c r="M2712" s="204" t="s">
        <v>2276</v>
      </c>
      <c r="N2712" s="204" t="s">
        <v>2276</v>
      </c>
      <c r="O2712" s="204" t="s">
        <v>2276</v>
      </c>
      <c r="P2712" s="204" t="s">
        <v>2276</v>
      </c>
      <c r="Q2712" s="204" t="s">
        <v>2276</v>
      </c>
      <c r="R2712" s="204" t="s">
        <v>2276</v>
      </c>
      <c r="S2712" s="204" t="s">
        <v>2276</v>
      </c>
      <c r="T2712" s="21">
        <f>2500*0.004</f>
        <v>10</v>
      </c>
      <c r="U2712" s="204" t="s">
        <v>2276</v>
      </c>
      <c r="V2712" s="204" t="s">
        <v>2276</v>
      </c>
      <c r="W2712" s="204" t="s">
        <v>2276</v>
      </c>
      <c r="X2712" s="21">
        <f>T2712/'Record info'!K$1130</f>
        <v>1.4821402104639098E-3</v>
      </c>
      <c r="Y2712" s="204" t="s">
        <v>2276</v>
      </c>
      <c r="Z2712" s="204" t="s">
        <v>68</v>
      </c>
      <c r="AA2712" s="204" t="s">
        <v>86</v>
      </c>
      <c r="AB2712" s="204" t="s">
        <v>76</v>
      </c>
      <c r="AC2712" s="204"/>
      <c r="AD2712" s="204"/>
    </row>
    <row r="2713" spans="1:30" s="122" customFormat="1" ht="29" customHeight="1">
      <c r="A2713" s="19" t="s">
        <v>7382</v>
      </c>
      <c r="B2713" s="19" t="s">
        <v>7489</v>
      </c>
      <c r="C2713" s="204" t="s">
        <v>24</v>
      </c>
      <c r="D2713" s="204" t="s">
        <v>1242</v>
      </c>
      <c r="E2713" s="204" t="s">
        <v>3209</v>
      </c>
      <c r="F2713" s="152" t="s">
        <v>2276</v>
      </c>
      <c r="G2713" s="152" t="s">
        <v>2276</v>
      </c>
      <c r="H2713" s="204" t="s">
        <v>523</v>
      </c>
      <c r="I2713" s="204">
        <v>2010</v>
      </c>
      <c r="J2713" s="204" t="s">
        <v>2276</v>
      </c>
      <c r="K2713" s="204" t="s">
        <v>2276</v>
      </c>
      <c r="L2713" s="204" t="s">
        <v>2276</v>
      </c>
      <c r="M2713" s="204" t="s">
        <v>2276</v>
      </c>
      <c r="N2713" s="204" t="s">
        <v>2276</v>
      </c>
      <c r="O2713" s="204" t="s">
        <v>2276</v>
      </c>
      <c r="P2713" s="204" t="s">
        <v>2276</v>
      </c>
      <c r="Q2713" s="204" t="s">
        <v>2276</v>
      </c>
      <c r="R2713" s="204" t="s">
        <v>2276</v>
      </c>
      <c r="S2713" s="204" t="s">
        <v>2276</v>
      </c>
      <c r="T2713" s="21">
        <f>2500*0.004</f>
        <v>10</v>
      </c>
      <c r="U2713" s="204" t="s">
        <v>2276</v>
      </c>
      <c r="V2713" s="204" t="s">
        <v>2276</v>
      </c>
      <c r="W2713" s="204" t="s">
        <v>2276</v>
      </c>
      <c r="X2713" s="21">
        <f>T2713/'Record info'!K$1131</f>
        <v>1.9747235387045812E-3</v>
      </c>
      <c r="Y2713" s="204" t="s">
        <v>2276</v>
      </c>
      <c r="Z2713" s="204" t="s">
        <v>68</v>
      </c>
      <c r="AA2713" s="204" t="s">
        <v>86</v>
      </c>
      <c r="AB2713" s="204" t="s">
        <v>76</v>
      </c>
      <c r="AC2713" s="204"/>
      <c r="AD2713" s="204"/>
    </row>
    <row r="2714" spans="1:30" s="122" customFormat="1" ht="29" customHeight="1">
      <c r="A2714" s="19" t="s">
        <v>7383</v>
      </c>
      <c r="B2714" s="19" t="s">
        <v>7490</v>
      </c>
      <c r="C2714" s="204" t="s">
        <v>24</v>
      </c>
      <c r="D2714" s="204" t="s">
        <v>1242</v>
      </c>
      <c r="E2714" s="204" t="s">
        <v>3209</v>
      </c>
      <c r="F2714" s="152" t="s">
        <v>2276</v>
      </c>
      <c r="G2714" s="152" t="s">
        <v>2276</v>
      </c>
      <c r="H2714" s="204" t="s">
        <v>524</v>
      </c>
      <c r="I2714" s="204">
        <v>2010</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f>T2714/'Record info'!K$1132</f>
        <v>0</v>
      </c>
      <c r="Y2714" s="204" t="s">
        <v>2276</v>
      </c>
      <c r="Z2714" s="204" t="s">
        <v>68</v>
      </c>
      <c r="AA2714" s="204" t="s">
        <v>86</v>
      </c>
      <c r="AB2714" s="204" t="s">
        <v>76</v>
      </c>
      <c r="AC2714" s="204"/>
      <c r="AD2714" s="204"/>
    </row>
    <row r="2715" spans="1:30" s="122" customFormat="1" ht="29" customHeight="1">
      <c r="A2715" s="19" t="s">
        <v>7384</v>
      </c>
      <c r="B2715" s="19" t="s">
        <v>7491</v>
      </c>
      <c r="C2715" s="204" t="s">
        <v>24</v>
      </c>
      <c r="D2715" s="204" t="s">
        <v>1242</v>
      </c>
      <c r="E2715" s="204" t="s">
        <v>3209</v>
      </c>
      <c r="F2715" s="152" t="s">
        <v>2276</v>
      </c>
      <c r="G2715" s="152" t="s">
        <v>2276</v>
      </c>
      <c r="H2715" s="204" t="s">
        <v>524</v>
      </c>
      <c r="I2715" s="204">
        <v>2010</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info'!K$1133</f>
        <v>0</v>
      </c>
      <c r="Y2715" s="204" t="s">
        <v>2276</v>
      </c>
      <c r="Z2715" s="204" t="s">
        <v>68</v>
      </c>
      <c r="AA2715" s="204" t="s">
        <v>86</v>
      </c>
      <c r="AB2715" s="204" t="s">
        <v>76</v>
      </c>
      <c r="AC2715" s="204"/>
      <c r="AD2715" s="204"/>
    </row>
    <row r="2716" spans="1:30" s="122" customFormat="1" ht="29" customHeight="1">
      <c r="A2716" s="19" t="s">
        <v>7385</v>
      </c>
      <c r="B2716" s="19" t="s">
        <v>7492</v>
      </c>
      <c r="C2716" s="204" t="s">
        <v>24</v>
      </c>
      <c r="D2716" s="204" t="s">
        <v>1242</v>
      </c>
      <c r="E2716" s="204" t="s">
        <v>3209</v>
      </c>
      <c r="F2716" s="152" t="s">
        <v>2276</v>
      </c>
      <c r="G2716" s="152" t="s">
        <v>2276</v>
      </c>
      <c r="H2716" s="204" t="s">
        <v>524</v>
      </c>
      <c r="I2716" s="204">
        <v>2010</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info'!K$1134</f>
        <v>0</v>
      </c>
      <c r="Y2716" s="204" t="s">
        <v>2276</v>
      </c>
      <c r="Z2716" s="204" t="s">
        <v>68</v>
      </c>
      <c r="AA2716" s="204" t="s">
        <v>86</v>
      </c>
      <c r="AB2716" s="204" t="s">
        <v>76</v>
      </c>
      <c r="AC2716" s="204"/>
      <c r="AD2716" s="204"/>
    </row>
    <row r="2717" spans="1:30" s="122" customFormat="1" ht="29" customHeight="1">
      <c r="A2717" s="19" t="s">
        <v>7386</v>
      </c>
      <c r="B2717" s="19" t="s">
        <v>7493</v>
      </c>
      <c r="C2717" s="204" t="s">
        <v>24</v>
      </c>
      <c r="D2717" s="204" t="s">
        <v>1242</v>
      </c>
      <c r="E2717" s="204" t="s">
        <v>3209</v>
      </c>
      <c r="F2717" s="152" t="s">
        <v>2276</v>
      </c>
      <c r="G2717" s="152" t="s">
        <v>2276</v>
      </c>
      <c r="H2717" s="204" t="s">
        <v>523</v>
      </c>
      <c r="I2717" s="204">
        <v>2010</v>
      </c>
      <c r="J2717" s="204" t="s">
        <v>2276</v>
      </c>
      <c r="K2717" s="204" t="s">
        <v>2276</v>
      </c>
      <c r="L2717" s="204" t="s">
        <v>2276</v>
      </c>
      <c r="M2717" s="204" t="s">
        <v>2276</v>
      </c>
      <c r="N2717" s="204" t="s">
        <v>2276</v>
      </c>
      <c r="O2717" s="204" t="s">
        <v>2276</v>
      </c>
      <c r="P2717" s="204" t="s">
        <v>2276</v>
      </c>
      <c r="Q2717" s="204" t="s">
        <v>2276</v>
      </c>
      <c r="R2717" s="204" t="s">
        <v>2276</v>
      </c>
      <c r="S2717" s="204" t="s">
        <v>2276</v>
      </c>
      <c r="T2717" s="21">
        <f>2500*0.035</f>
        <v>87.500000000000014</v>
      </c>
      <c r="U2717" s="204" t="s">
        <v>2276</v>
      </c>
      <c r="V2717" s="204" t="s">
        <v>2276</v>
      </c>
      <c r="W2717" s="204" t="s">
        <v>2276</v>
      </c>
      <c r="X2717" s="21">
        <f>T2717/'Record info'!K$1135</f>
        <v>1.442704039571311E-2</v>
      </c>
      <c r="Y2717" s="204" t="s">
        <v>2276</v>
      </c>
      <c r="Z2717" s="204" t="s">
        <v>68</v>
      </c>
      <c r="AA2717" s="204" t="s">
        <v>86</v>
      </c>
      <c r="AB2717" s="204" t="s">
        <v>76</v>
      </c>
      <c r="AC2717" s="204"/>
      <c r="AD2717" s="204"/>
    </row>
    <row r="2718" spans="1:30" s="122" customFormat="1" ht="29" customHeight="1">
      <c r="A2718" s="19" t="s">
        <v>7387</v>
      </c>
      <c r="B2718" s="19" t="s">
        <v>7494</v>
      </c>
      <c r="C2718" s="204" t="s">
        <v>24</v>
      </c>
      <c r="D2718" s="204" t="s">
        <v>1242</v>
      </c>
      <c r="E2718" s="204" t="s">
        <v>3209</v>
      </c>
      <c r="F2718" s="152" t="s">
        <v>2276</v>
      </c>
      <c r="G2718" s="152" t="s">
        <v>2276</v>
      </c>
      <c r="H2718" s="204" t="s">
        <v>523</v>
      </c>
      <c r="I2718" s="204">
        <v>2010</v>
      </c>
      <c r="J2718" s="204" t="s">
        <v>2276</v>
      </c>
      <c r="K2718" s="204" t="s">
        <v>2276</v>
      </c>
      <c r="L2718" s="204" t="s">
        <v>2276</v>
      </c>
      <c r="M2718" s="204" t="s">
        <v>2276</v>
      </c>
      <c r="N2718" s="204" t="s">
        <v>2276</v>
      </c>
      <c r="O2718" s="204" t="s">
        <v>2276</v>
      </c>
      <c r="P2718" s="204" t="s">
        <v>2276</v>
      </c>
      <c r="Q2718" s="204" t="s">
        <v>2276</v>
      </c>
      <c r="R2718" s="204" t="s">
        <v>2276</v>
      </c>
      <c r="S2718" s="204" t="s">
        <v>2276</v>
      </c>
      <c r="T2718" s="21">
        <f>2500*0.079</f>
        <v>197.5</v>
      </c>
      <c r="U2718" s="204" t="s">
        <v>2276</v>
      </c>
      <c r="V2718" s="204" t="s">
        <v>2276</v>
      </c>
      <c r="W2718" s="204" t="s">
        <v>2276</v>
      </c>
      <c r="X2718" s="21">
        <f>T2718/'Record info'!K$1136</f>
        <v>2.9588014981273409E-2</v>
      </c>
      <c r="Y2718" s="204" t="s">
        <v>2276</v>
      </c>
      <c r="Z2718" s="204" t="s">
        <v>68</v>
      </c>
      <c r="AA2718" s="204" t="s">
        <v>86</v>
      </c>
      <c r="AB2718" s="204" t="s">
        <v>76</v>
      </c>
      <c r="AC2718" s="204"/>
      <c r="AD2718" s="204"/>
    </row>
    <row r="2719" spans="1:30" s="122" customFormat="1" ht="29" customHeight="1">
      <c r="A2719" s="19" t="s">
        <v>7388</v>
      </c>
      <c r="B2719" s="19" t="s">
        <v>7495</v>
      </c>
      <c r="C2719" s="204" t="s">
        <v>24</v>
      </c>
      <c r="D2719" s="204" t="s">
        <v>1242</v>
      </c>
      <c r="E2719" s="204" t="s">
        <v>3209</v>
      </c>
      <c r="F2719" s="152" t="s">
        <v>2276</v>
      </c>
      <c r="G2719" s="152" t="s">
        <v>2276</v>
      </c>
      <c r="H2719" s="204" t="s">
        <v>523</v>
      </c>
      <c r="I2719" s="204">
        <v>2010</v>
      </c>
      <c r="J2719" s="204" t="s">
        <v>2276</v>
      </c>
      <c r="K2719" s="204" t="s">
        <v>2276</v>
      </c>
      <c r="L2719" s="204" t="s">
        <v>2276</v>
      </c>
      <c r="M2719" s="204" t="s">
        <v>2276</v>
      </c>
      <c r="N2719" s="204" t="s">
        <v>2276</v>
      </c>
      <c r="O2719" s="204" t="s">
        <v>2276</v>
      </c>
      <c r="P2719" s="204" t="s">
        <v>2276</v>
      </c>
      <c r="Q2719" s="204" t="s">
        <v>2276</v>
      </c>
      <c r="R2719" s="204" t="s">
        <v>2276</v>
      </c>
      <c r="S2719" s="204" t="s">
        <v>2276</v>
      </c>
      <c r="T2719" s="21">
        <f>2500*0.132</f>
        <v>330</v>
      </c>
      <c r="U2719" s="204" t="s">
        <v>2276</v>
      </c>
      <c r="V2719" s="204" t="s">
        <v>2276</v>
      </c>
      <c r="W2719" s="204" t="s">
        <v>2276</v>
      </c>
      <c r="X2719" s="21">
        <f>T2719/'Record info'!K$1137</f>
        <v>5.9804276911924609E-2</v>
      </c>
      <c r="Y2719" s="204" t="s">
        <v>2276</v>
      </c>
      <c r="Z2719" s="204" t="s">
        <v>68</v>
      </c>
      <c r="AA2719" s="204" t="s">
        <v>86</v>
      </c>
      <c r="AB2719" s="204" t="s">
        <v>76</v>
      </c>
      <c r="AC2719" s="204"/>
      <c r="AD2719" s="204"/>
    </row>
    <row r="2720" spans="1:30" s="122" customFormat="1" ht="29" customHeight="1">
      <c r="A2720" s="19" t="s">
        <v>7389</v>
      </c>
      <c r="B2720" s="19" t="s">
        <v>7496</v>
      </c>
      <c r="C2720" s="204" t="s">
        <v>24</v>
      </c>
      <c r="D2720" s="204" t="s">
        <v>1242</v>
      </c>
      <c r="E2720" s="204" t="s">
        <v>3209</v>
      </c>
      <c r="F2720" s="152" t="s">
        <v>2276</v>
      </c>
      <c r="G2720" s="152" t="s">
        <v>2276</v>
      </c>
      <c r="H2720" s="204" t="s">
        <v>523</v>
      </c>
      <c r="I2720" s="204">
        <v>2010</v>
      </c>
      <c r="J2720" s="204" t="s">
        <v>2276</v>
      </c>
      <c r="K2720" s="204" t="s">
        <v>2276</v>
      </c>
      <c r="L2720" s="204" t="s">
        <v>2276</v>
      </c>
      <c r="M2720" s="204" t="s">
        <v>2276</v>
      </c>
      <c r="N2720" s="204" t="s">
        <v>2276</v>
      </c>
      <c r="O2720" s="204" t="s">
        <v>2276</v>
      </c>
      <c r="P2720" s="204" t="s">
        <v>2276</v>
      </c>
      <c r="Q2720" s="204" t="s">
        <v>2276</v>
      </c>
      <c r="R2720" s="204" t="s">
        <v>2276</v>
      </c>
      <c r="S2720" s="204" t="s">
        <v>2276</v>
      </c>
      <c r="T2720" s="21">
        <f>2500*0.057</f>
        <v>142.5</v>
      </c>
      <c r="U2720" s="204" t="s">
        <v>2276</v>
      </c>
      <c r="V2720" s="204" t="s">
        <v>2276</v>
      </c>
      <c r="W2720" s="204" t="s">
        <v>2276</v>
      </c>
      <c r="X2720" s="21">
        <f>T2720/'Record info'!K$1138</f>
        <v>3.6103369647833797E-2</v>
      </c>
      <c r="Y2720" s="204" t="s">
        <v>2276</v>
      </c>
      <c r="Z2720" s="204" t="s">
        <v>68</v>
      </c>
      <c r="AA2720" s="204" t="s">
        <v>86</v>
      </c>
      <c r="AB2720" s="204" t="s">
        <v>76</v>
      </c>
      <c r="AC2720" s="204"/>
      <c r="AD2720" s="204"/>
    </row>
    <row r="2721" spans="1:30" s="122" customFormat="1" ht="29" customHeight="1">
      <c r="A2721" s="19" t="s">
        <v>7390</v>
      </c>
      <c r="B2721" s="19" t="s">
        <v>7497</v>
      </c>
      <c r="C2721" s="204" t="s">
        <v>24</v>
      </c>
      <c r="D2721" s="204" t="s">
        <v>1242</v>
      </c>
      <c r="E2721" s="204" t="s">
        <v>3209</v>
      </c>
      <c r="F2721" s="152" t="s">
        <v>2276</v>
      </c>
      <c r="G2721" s="152" t="s">
        <v>2276</v>
      </c>
      <c r="H2721" s="204" t="s">
        <v>523</v>
      </c>
      <c r="I2721" s="204">
        <v>2010</v>
      </c>
      <c r="J2721" s="204" t="s">
        <v>2276</v>
      </c>
      <c r="K2721" s="204" t="s">
        <v>2276</v>
      </c>
      <c r="L2721" s="204" t="s">
        <v>2276</v>
      </c>
      <c r="M2721" s="204" t="s">
        <v>2276</v>
      </c>
      <c r="N2721" s="204" t="s">
        <v>2276</v>
      </c>
      <c r="O2721" s="204" t="s">
        <v>2276</v>
      </c>
      <c r="P2721" s="204" t="s">
        <v>2276</v>
      </c>
      <c r="Q2721" s="204" t="s">
        <v>2276</v>
      </c>
      <c r="R2721" s="204" t="s">
        <v>2276</v>
      </c>
      <c r="S2721" s="204" t="s">
        <v>2276</v>
      </c>
      <c r="T2721" s="21">
        <f>2500*0.024</f>
        <v>60</v>
      </c>
      <c r="U2721" s="204" t="s">
        <v>2276</v>
      </c>
      <c r="V2721" s="204" t="s">
        <v>2276</v>
      </c>
      <c r="W2721" s="204" t="s">
        <v>2276</v>
      </c>
      <c r="X2721" s="21">
        <f>T2721/'Record info'!K$1139</f>
        <v>2.1367521367521368E-2</v>
      </c>
      <c r="Y2721" s="204" t="s">
        <v>2276</v>
      </c>
      <c r="Z2721" s="204" t="s">
        <v>68</v>
      </c>
      <c r="AA2721" s="204" t="s">
        <v>86</v>
      </c>
      <c r="AB2721" s="204" t="s">
        <v>76</v>
      </c>
      <c r="AC2721" s="204"/>
      <c r="AD2721" s="204"/>
    </row>
    <row r="2722" spans="1:30" s="122" customFormat="1" ht="29" customHeight="1">
      <c r="A2722" s="19" t="s">
        <v>7391</v>
      </c>
      <c r="B2722" s="19" t="s">
        <v>7498</v>
      </c>
      <c r="C2722" s="204" t="s">
        <v>24</v>
      </c>
      <c r="D2722" s="204" t="s">
        <v>1242</v>
      </c>
      <c r="E2722" s="204" t="s">
        <v>3209</v>
      </c>
      <c r="F2722" s="152" t="s">
        <v>2276</v>
      </c>
      <c r="G2722" s="152" t="s">
        <v>2276</v>
      </c>
      <c r="H2722" s="204" t="s">
        <v>523</v>
      </c>
      <c r="I2722" s="204">
        <v>2010</v>
      </c>
      <c r="J2722" s="204" t="s">
        <v>2276</v>
      </c>
      <c r="K2722" s="204" t="s">
        <v>2276</v>
      </c>
      <c r="L2722" s="204" t="s">
        <v>2276</v>
      </c>
      <c r="M2722" s="204" t="s">
        <v>2276</v>
      </c>
      <c r="N2722" s="204" t="s">
        <v>2276</v>
      </c>
      <c r="O2722" s="204" t="s">
        <v>2276</v>
      </c>
      <c r="P2722" s="204" t="s">
        <v>2276</v>
      </c>
      <c r="Q2722" s="204" t="s">
        <v>2276</v>
      </c>
      <c r="R2722" s="204" t="s">
        <v>2276</v>
      </c>
      <c r="S2722" s="204" t="s">
        <v>2276</v>
      </c>
      <c r="T2722" s="21">
        <f>2500*0.072</f>
        <v>180</v>
      </c>
      <c r="U2722" s="204" t="s">
        <v>2276</v>
      </c>
      <c r="V2722" s="204" t="s">
        <v>2276</v>
      </c>
      <c r="W2722" s="204" t="s">
        <v>2276</v>
      </c>
      <c r="X2722" s="21">
        <f>T2722/'Record info'!K$1140</f>
        <v>3.5949670461354104E-2</v>
      </c>
      <c r="Y2722" s="204" t="s">
        <v>2276</v>
      </c>
      <c r="Z2722" s="204" t="s">
        <v>68</v>
      </c>
      <c r="AA2722" s="204" t="s">
        <v>86</v>
      </c>
      <c r="AB2722" s="204" t="s">
        <v>76</v>
      </c>
      <c r="AC2722" s="204"/>
      <c r="AD2722" s="204"/>
    </row>
    <row r="2723" spans="1:30" s="122" customFormat="1" ht="29" customHeight="1">
      <c r="A2723" s="19" t="s">
        <v>7392</v>
      </c>
      <c r="B2723" s="19" t="s">
        <v>7499</v>
      </c>
      <c r="C2723" s="204" t="s">
        <v>24</v>
      </c>
      <c r="D2723" s="204" t="s">
        <v>1242</v>
      </c>
      <c r="E2723" s="204" t="s">
        <v>3209</v>
      </c>
      <c r="F2723" s="152" t="s">
        <v>2276</v>
      </c>
      <c r="G2723" s="152" t="s">
        <v>2276</v>
      </c>
      <c r="H2723" s="204" t="s">
        <v>523</v>
      </c>
      <c r="I2723" s="204">
        <v>2010</v>
      </c>
      <c r="J2723" s="204" t="s">
        <v>2276</v>
      </c>
      <c r="K2723" s="204" t="s">
        <v>2276</v>
      </c>
      <c r="L2723" s="204" t="s">
        <v>2276</v>
      </c>
      <c r="M2723" s="204" t="s">
        <v>2276</v>
      </c>
      <c r="N2723" s="204" t="s">
        <v>2276</v>
      </c>
      <c r="O2723" s="204" t="s">
        <v>2276</v>
      </c>
      <c r="P2723" s="204" t="s">
        <v>2276</v>
      </c>
      <c r="Q2723" s="204" t="s">
        <v>2276</v>
      </c>
      <c r="R2723" s="204" t="s">
        <v>2276</v>
      </c>
      <c r="S2723" s="204" t="s">
        <v>2276</v>
      </c>
      <c r="T2723" s="21">
        <f>2500*0.068</f>
        <v>170</v>
      </c>
      <c r="U2723" s="204" t="s">
        <v>2276</v>
      </c>
      <c r="V2723" s="204" t="s">
        <v>2276</v>
      </c>
      <c r="W2723" s="204" t="s">
        <v>2276</v>
      </c>
      <c r="X2723" s="21">
        <f>T2723/'Record info'!K$1141</f>
        <v>0.14480408858603067</v>
      </c>
      <c r="Y2723" s="204" t="s">
        <v>2276</v>
      </c>
      <c r="Z2723" s="204" t="s">
        <v>68</v>
      </c>
      <c r="AA2723" s="204" t="s">
        <v>86</v>
      </c>
      <c r="AB2723" s="204" t="s">
        <v>76</v>
      </c>
      <c r="AC2723" s="204"/>
      <c r="AD2723" s="204"/>
    </row>
    <row r="2724" spans="1:30" s="122" customFormat="1" ht="29" customHeight="1">
      <c r="A2724" s="19" t="s">
        <v>7393</v>
      </c>
      <c r="B2724" s="19" t="s">
        <v>7500</v>
      </c>
      <c r="C2724" s="204" t="s">
        <v>24</v>
      </c>
      <c r="D2724" s="204" t="s">
        <v>1242</v>
      </c>
      <c r="E2724" s="204" t="s">
        <v>3209</v>
      </c>
      <c r="F2724" s="152" t="s">
        <v>2276</v>
      </c>
      <c r="G2724" s="152" t="s">
        <v>2276</v>
      </c>
      <c r="H2724" s="204" t="s">
        <v>523</v>
      </c>
      <c r="I2724" s="204">
        <v>2010</v>
      </c>
      <c r="J2724" s="204" t="s">
        <v>2276</v>
      </c>
      <c r="K2724" s="204" t="s">
        <v>2276</v>
      </c>
      <c r="L2724" s="204" t="s">
        <v>2276</v>
      </c>
      <c r="M2724" s="204" t="s">
        <v>2276</v>
      </c>
      <c r="N2724" s="204" t="s">
        <v>2276</v>
      </c>
      <c r="O2724" s="204" t="s">
        <v>2276</v>
      </c>
      <c r="P2724" s="204" t="s">
        <v>2276</v>
      </c>
      <c r="Q2724" s="204" t="s">
        <v>2276</v>
      </c>
      <c r="R2724" s="204" t="s">
        <v>2276</v>
      </c>
      <c r="S2724" s="204" t="s">
        <v>2276</v>
      </c>
      <c r="T2724" s="21">
        <f>2500*0.075</f>
        <v>187.5</v>
      </c>
      <c r="U2724" s="204" t="s">
        <v>2276</v>
      </c>
      <c r="V2724" s="204" t="s">
        <v>2276</v>
      </c>
      <c r="W2724" s="204" t="s">
        <v>2276</v>
      </c>
      <c r="X2724" s="21">
        <f>T2724/'Record info'!K$1142</f>
        <v>4.3322550831792976E-2</v>
      </c>
      <c r="Y2724" s="204" t="s">
        <v>2276</v>
      </c>
      <c r="Z2724" s="204" t="s">
        <v>68</v>
      </c>
      <c r="AA2724" s="204" t="s">
        <v>86</v>
      </c>
      <c r="AB2724" s="204" t="s">
        <v>76</v>
      </c>
      <c r="AC2724" s="204"/>
      <c r="AD2724" s="204"/>
    </row>
    <row r="2725" spans="1:30" s="122" customFormat="1" ht="29" customHeight="1">
      <c r="A2725" s="19" t="s">
        <v>7394</v>
      </c>
      <c r="B2725" s="19" t="s">
        <v>7501</v>
      </c>
      <c r="C2725" s="204" t="s">
        <v>24</v>
      </c>
      <c r="D2725" s="204" t="s">
        <v>1242</v>
      </c>
      <c r="E2725" s="204" t="s">
        <v>3209</v>
      </c>
      <c r="F2725" s="152" t="s">
        <v>2276</v>
      </c>
      <c r="G2725" s="152" t="s">
        <v>2276</v>
      </c>
      <c r="H2725" s="204" t="s">
        <v>523</v>
      </c>
      <c r="I2725" s="204">
        <v>2010</v>
      </c>
      <c r="J2725" s="204" t="s">
        <v>2276</v>
      </c>
      <c r="K2725" s="204" t="s">
        <v>2276</v>
      </c>
      <c r="L2725" s="204" t="s">
        <v>2276</v>
      </c>
      <c r="M2725" s="204" t="s">
        <v>2276</v>
      </c>
      <c r="N2725" s="204" t="s">
        <v>2276</v>
      </c>
      <c r="O2725" s="204" t="s">
        <v>2276</v>
      </c>
      <c r="P2725" s="204" t="s">
        <v>2276</v>
      </c>
      <c r="Q2725" s="204" t="s">
        <v>2276</v>
      </c>
      <c r="R2725" s="204" t="s">
        <v>2276</v>
      </c>
      <c r="S2725" s="204" t="s">
        <v>2276</v>
      </c>
      <c r="T2725" s="21">
        <f>2500*0.111</f>
        <v>277.5</v>
      </c>
      <c r="U2725" s="204" t="s">
        <v>2276</v>
      </c>
      <c r="V2725" s="204" t="s">
        <v>2276</v>
      </c>
      <c r="W2725" s="204" t="s">
        <v>2276</v>
      </c>
      <c r="X2725" s="21">
        <f>T2725/'Record info'!K$1143</f>
        <v>0.11586638830897704</v>
      </c>
      <c r="Y2725" s="204" t="s">
        <v>2276</v>
      </c>
      <c r="Z2725" s="204" t="s">
        <v>68</v>
      </c>
      <c r="AA2725" s="204" t="s">
        <v>86</v>
      </c>
      <c r="AB2725" s="204" t="s">
        <v>76</v>
      </c>
      <c r="AC2725" s="204"/>
      <c r="AD2725" s="204"/>
    </row>
    <row r="2726" spans="1:30" s="122" customFormat="1" ht="29" customHeight="1">
      <c r="A2726" s="19" t="s">
        <v>7395</v>
      </c>
      <c r="B2726" s="19" t="s">
        <v>7502</v>
      </c>
      <c r="C2726" s="204" t="s">
        <v>24</v>
      </c>
      <c r="D2726" s="204" t="s">
        <v>1242</v>
      </c>
      <c r="E2726" s="204" t="s">
        <v>3209</v>
      </c>
      <c r="F2726" s="152" t="s">
        <v>2276</v>
      </c>
      <c r="G2726" s="152" t="s">
        <v>2276</v>
      </c>
      <c r="H2726" s="204" t="s">
        <v>523</v>
      </c>
      <c r="I2726" s="204">
        <v>2010</v>
      </c>
      <c r="J2726" s="204" t="s">
        <v>2276</v>
      </c>
      <c r="K2726" s="204" t="s">
        <v>2276</v>
      </c>
      <c r="L2726" s="204" t="s">
        <v>2276</v>
      </c>
      <c r="M2726" s="204" t="s">
        <v>2276</v>
      </c>
      <c r="N2726" s="204" t="s">
        <v>2276</v>
      </c>
      <c r="O2726" s="204" t="s">
        <v>2276</v>
      </c>
      <c r="P2726" s="204" t="s">
        <v>2276</v>
      </c>
      <c r="Q2726" s="204" t="s">
        <v>2276</v>
      </c>
      <c r="R2726" s="204" t="s">
        <v>2276</v>
      </c>
      <c r="S2726" s="204" t="s">
        <v>2276</v>
      </c>
      <c r="T2726" s="21">
        <f>2500*0.106</f>
        <v>265</v>
      </c>
      <c r="U2726" s="204" t="s">
        <v>2276</v>
      </c>
      <c r="V2726" s="204" t="s">
        <v>2276</v>
      </c>
      <c r="W2726" s="204" t="s">
        <v>2276</v>
      </c>
      <c r="X2726" s="21">
        <f>T2726/'Record info'!K$1144</f>
        <v>9.9139543583988035E-2</v>
      </c>
      <c r="Y2726" s="204" t="s">
        <v>2276</v>
      </c>
      <c r="Z2726" s="204" t="s">
        <v>68</v>
      </c>
      <c r="AA2726" s="204" t="s">
        <v>86</v>
      </c>
      <c r="AB2726" s="204" t="s">
        <v>76</v>
      </c>
      <c r="AC2726" s="204"/>
      <c r="AD2726" s="204"/>
    </row>
    <row r="2727" spans="1:30" s="122" customFormat="1" ht="32.5" customHeight="1">
      <c r="A2727" s="19" t="s">
        <v>7396</v>
      </c>
      <c r="B2727" s="19" t="s">
        <v>7503</v>
      </c>
      <c r="C2727" s="204" t="s">
        <v>24</v>
      </c>
      <c r="D2727" s="204" t="s">
        <v>1242</v>
      </c>
      <c r="E2727" s="204" t="s">
        <v>3209</v>
      </c>
      <c r="F2727" s="152" t="s">
        <v>2276</v>
      </c>
      <c r="G2727" s="152" t="s">
        <v>2276</v>
      </c>
      <c r="H2727" s="204" t="s">
        <v>523</v>
      </c>
      <c r="I2727" s="204">
        <v>2010</v>
      </c>
      <c r="J2727" s="204" t="s">
        <v>2276</v>
      </c>
      <c r="K2727" s="204" t="s">
        <v>2276</v>
      </c>
      <c r="L2727" s="204" t="s">
        <v>2276</v>
      </c>
      <c r="M2727" s="204" t="s">
        <v>2276</v>
      </c>
      <c r="N2727" s="204" t="s">
        <v>2276</v>
      </c>
      <c r="O2727" s="204" t="s">
        <v>2276</v>
      </c>
      <c r="P2727" s="204" t="s">
        <v>2276</v>
      </c>
      <c r="Q2727" s="204" t="s">
        <v>2276</v>
      </c>
      <c r="R2727" s="204" t="s">
        <v>2276</v>
      </c>
      <c r="S2727" s="204" t="s">
        <v>2276</v>
      </c>
      <c r="T2727" s="21">
        <f>2500*0.166</f>
        <v>415</v>
      </c>
      <c r="U2727" s="204" t="s">
        <v>2276</v>
      </c>
      <c r="V2727" s="204" t="s">
        <v>2276</v>
      </c>
      <c r="W2727" s="204" t="s">
        <v>2276</v>
      </c>
      <c r="X2727" s="21">
        <f>T2727/'Record info'!K$1145</f>
        <v>0.18403547671840353</v>
      </c>
      <c r="Y2727" s="204" t="s">
        <v>2276</v>
      </c>
      <c r="Z2727" s="204" t="s">
        <v>68</v>
      </c>
      <c r="AA2727" s="204" t="s">
        <v>86</v>
      </c>
      <c r="AB2727" s="204" t="s">
        <v>76</v>
      </c>
      <c r="AC2727" s="204"/>
      <c r="AD2727" s="204"/>
    </row>
    <row r="2728" spans="1:30" ht="32.5" customHeight="1">
      <c r="A2728" s="19" t="s">
        <v>7294</v>
      </c>
      <c r="B2728" s="19" t="s">
        <v>7504</v>
      </c>
      <c r="C2728" s="204" t="s">
        <v>24</v>
      </c>
      <c r="D2728" s="204" t="s">
        <v>1242</v>
      </c>
      <c r="E2728" s="204" t="s">
        <v>3209</v>
      </c>
      <c r="F2728" s="152" t="s">
        <v>2276</v>
      </c>
      <c r="G2728" s="152" t="s">
        <v>2276</v>
      </c>
      <c r="H2728" s="204" t="s">
        <v>523</v>
      </c>
      <c r="I2728" s="204">
        <v>2011</v>
      </c>
      <c r="J2728" s="204" t="s">
        <v>2276</v>
      </c>
      <c r="K2728" s="204" t="s">
        <v>2276</v>
      </c>
      <c r="L2728" s="204" t="s">
        <v>2276</v>
      </c>
      <c r="M2728" s="204" t="s">
        <v>2276</v>
      </c>
      <c r="N2728" s="204" t="s">
        <v>2276</v>
      </c>
      <c r="O2728" s="204" t="s">
        <v>2276</v>
      </c>
      <c r="P2728" s="204" t="s">
        <v>2276</v>
      </c>
      <c r="Q2728" s="204" t="s">
        <v>2276</v>
      </c>
      <c r="R2728" s="204" t="s">
        <v>2276</v>
      </c>
      <c r="S2728" s="204" t="s">
        <v>2276</v>
      </c>
      <c r="T2728" s="21">
        <f>1750*0.027</f>
        <v>47.25</v>
      </c>
      <c r="U2728" s="204" t="s">
        <v>2276</v>
      </c>
      <c r="V2728" s="204" t="s">
        <v>2276</v>
      </c>
      <c r="W2728" s="204" t="s">
        <v>2276</v>
      </c>
      <c r="X2728" s="21">
        <f>T2728/'Record info'!K$1128</f>
        <v>1.6875000000000001E-2</v>
      </c>
      <c r="Y2728" s="204" t="s">
        <v>2276</v>
      </c>
      <c r="Z2728" s="204" t="s">
        <v>68</v>
      </c>
      <c r="AA2728" s="204" t="s">
        <v>86</v>
      </c>
      <c r="AB2728" s="204" t="s">
        <v>76</v>
      </c>
      <c r="AC2728" s="204"/>
      <c r="AD2728" s="204"/>
    </row>
    <row r="2729" spans="1:30" ht="32.5" customHeight="1">
      <c r="A2729" s="19" t="s">
        <v>7380</v>
      </c>
      <c r="B2729" s="19" t="s">
        <v>7505</v>
      </c>
      <c r="C2729" s="204" t="s">
        <v>24</v>
      </c>
      <c r="D2729" s="204" t="s">
        <v>1242</v>
      </c>
      <c r="E2729" s="204" t="s">
        <v>3209</v>
      </c>
      <c r="F2729" s="152" t="s">
        <v>2276</v>
      </c>
      <c r="G2729" s="152" t="s">
        <v>2276</v>
      </c>
      <c r="H2729" s="204" t="s">
        <v>523</v>
      </c>
      <c r="I2729" s="204">
        <v>2011</v>
      </c>
      <c r="J2729" s="204" t="s">
        <v>2276</v>
      </c>
      <c r="K2729" s="204" t="s">
        <v>2276</v>
      </c>
      <c r="L2729" s="204" t="s">
        <v>2276</v>
      </c>
      <c r="M2729" s="204" t="s">
        <v>2276</v>
      </c>
      <c r="N2729" s="204" t="s">
        <v>2276</v>
      </c>
      <c r="O2729" s="204" t="s">
        <v>2276</v>
      </c>
      <c r="P2729" s="204" t="s">
        <v>2276</v>
      </c>
      <c r="Q2729" s="204" t="s">
        <v>2276</v>
      </c>
      <c r="R2729" s="204" t="s">
        <v>2276</v>
      </c>
      <c r="S2729" s="204" t="s">
        <v>2276</v>
      </c>
      <c r="T2729" s="21">
        <f>1750*0.041</f>
        <v>71.75</v>
      </c>
      <c r="U2729" s="204" t="s">
        <v>2276</v>
      </c>
      <c r="V2729" s="204" t="s">
        <v>2276</v>
      </c>
      <c r="W2729" s="204" t="s">
        <v>2276</v>
      </c>
      <c r="X2729" s="21">
        <f>T2729/'Record info'!K$1129</f>
        <v>2.0412517780938833E-2</v>
      </c>
      <c r="Y2729" s="204" t="s">
        <v>2276</v>
      </c>
      <c r="Z2729" s="204" t="s">
        <v>68</v>
      </c>
      <c r="AA2729" s="204" t="s">
        <v>86</v>
      </c>
      <c r="AB2729" s="204" t="s">
        <v>76</v>
      </c>
      <c r="AC2729" s="204"/>
      <c r="AD2729" s="204"/>
    </row>
    <row r="2730" spans="1:30" ht="32.5" customHeight="1">
      <c r="A2730" s="19" t="s">
        <v>7381</v>
      </c>
      <c r="B2730" s="19" t="s">
        <v>7506</v>
      </c>
      <c r="C2730" s="204" t="s">
        <v>24</v>
      </c>
      <c r="D2730" s="204" t="s">
        <v>1242</v>
      </c>
      <c r="E2730" s="204" t="s">
        <v>3209</v>
      </c>
      <c r="F2730" s="152" t="s">
        <v>2276</v>
      </c>
      <c r="G2730" s="152" t="s">
        <v>2276</v>
      </c>
      <c r="H2730" s="204" t="s">
        <v>523</v>
      </c>
      <c r="I2730" s="204">
        <v>2011</v>
      </c>
      <c r="J2730" s="204" t="s">
        <v>2276</v>
      </c>
      <c r="K2730" s="204" t="s">
        <v>2276</v>
      </c>
      <c r="L2730" s="204" t="s">
        <v>2276</v>
      </c>
      <c r="M2730" s="204" t="s">
        <v>2276</v>
      </c>
      <c r="N2730" s="204" t="s">
        <v>2276</v>
      </c>
      <c r="O2730" s="204" t="s">
        <v>2276</v>
      </c>
      <c r="P2730" s="204" t="s">
        <v>2276</v>
      </c>
      <c r="Q2730" s="204" t="s">
        <v>2276</v>
      </c>
      <c r="R2730" s="204" t="s">
        <v>2276</v>
      </c>
      <c r="S2730" s="204" t="s">
        <v>2276</v>
      </c>
      <c r="T2730" s="21">
        <f>1750*0.004</f>
        <v>7</v>
      </c>
      <c r="U2730" s="204" t="s">
        <v>2276</v>
      </c>
      <c r="V2730" s="204" t="s">
        <v>2276</v>
      </c>
      <c r="W2730" s="204" t="s">
        <v>2276</v>
      </c>
      <c r="X2730" s="21">
        <f>T2730/'Record info'!K$1130</f>
        <v>1.037498147324737E-3</v>
      </c>
      <c r="Y2730" s="204" t="s">
        <v>2276</v>
      </c>
      <c r="Z2730" s="204" t="s">
        <v>68</v>
      </c>
      <c r="AA2730" s="204" t="s">
        <v>86</v>
      </c>
      <c r="AB2730" s="204" t="s">
        <v>76</v>
      </c>
      <c r="AC2730" s="204"/>
      <c r="AD2730" s="204"/>
    </row>
    <row r="2731" spans="1:30" ht="32.5" customHeight="1">
      <c r="A2731" s="19" t="s">
        <v>7382</v>
      </c>
      <c r="B2731" s="19" t="s">
        <v>7507</v>
      </c>
      <c r="C2731" s="204" t="s">
        <v>24</v>
      </c>
      <c r="D2731" s="204" t="s">
        <v>1242</v>
      </c>
      <c r="E2731" s="204" t="s">
        <v>3209</v>
      </c>
      <c r="F2731" s="152" t="s">
        <v>2276</v>
      </c>
      <c r="G2731" s="152" t="s">
        <v>2276</v>
      </c>
      <c r="H2731" s="204" t="s">
        <v>523</v>
      </c>
      <c r="I2731" s="204">
        <v>2011</v>
      </c>
      <c r="J2731" s="204" t="s">
        <v>2276</v>
      </c>
      <c r="K2731" s="204" t="s">
        <v>2276</v>
      </c>
      <c r="L2731" s="204" t="s">
        <v>2276</v>
      </c>
      <c r="M2731" s="204" t="s">
        <v>2276</v>
      </c>
      <c r="N2731" s="204" t="s">
        <v>2276</v>
      </c>
      <c r="O2731" s="204" t="s">
        <v>2276</v>
      </c>
      <c r="P2731" s="204" t="s">
        <v>2276</v>
      </c>
      <c r="Q2731" s="204" t="s">
        <v>2276</v>
      </c>
      <c r="R2731" s="204" t="s">
        <v>2276</v>
      </c>
      <c r="S2731" s="204" t="s">
        <v>2276</v>
      </c>
      <c r="T2731" s="21">
        <f>1750*0.004</f>
        <v>7</v>
      </c>
      <c r="U2731" s="204" t="s">
        <v>2276</v>
      </c>
      <c r="V2731" s="204" t="s">
        <v>2276</v>
      </c>
      <c r="W2731" s="204" t="s">
        <v>2276</v>
      </c>
      <c r="X2731" s="21">
        <f>T2731/'Record info'!K$1131</f>
        <v>1.382306477093207E-3</v>
      </c>
      <c r="Y2731" s="204" t="s">
        <v>2276</v>
      </c>
      <c r="Z2731" s="204" t="s">
        <v>68</v>
      </c>
      <c r="AA2731" s="204" t="s">
        <v>86</v>
      </c>
      <c r="AB2731" s="204" t="s">
        <v>76</v>
      </c>
      <c r="AC2731" s="204"/>
      <c r="AD2731" s="204"/>
    </row>
    <row r="2732" spans="1:30" ht="32.5" customHeight="1">
      <c r="A2732" s="19" t="s">
        <v>7383</v>
      </c>
      <c r="B2732" s="19" t="s">
        <v>7508</v>
      </c>
      <c r="C2732" s="204" t="s">
        <v>24</v>
      </c>
      <c r="D2732" s="204" t="s">
        <v>1242</v>
      </c>
      <c r="E2732" s="204" t="s">
        <v>3209</v>
      </c>
      <c r="F2732" s="152" t="s">
        <v>2276</v>
      </c>
      <c r="G2732" s="152" t="s">
        <v>2276</v>
      </c>
      <c r="H2732" s="204" t="s">
        <v>524</v>
      </c>
      <c r="I2732" s="204">
        <v>2011</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f>T2732/'Record info'!K$1132</f>
        <v>0</v>
      </c>
      <c r="Y2732" s="204" t="s">
        <v>2276</v>
      </c>
      <c r="Z2732" s="204" t="s">
        <v>68</v>
      </c>
      <c r="AA2732" s="204" t="s">
        <v>86</v>
      </c>
      <c r="AB2732" s="204" t="s">
        <v>76</v>
      </c>
      <c r="AC2732" s="204"/>
      <c r="AD2732" s="204"/>
    </row>
    <row r="2733" spans="1:30" ht="32.5" customHeight="1">
      <c r="A2733" s="19" t="s">
        <v>7384</v>
      </c>
      <c r="B2733" s="19" t="s">
        <v>7509</v>
      </c>
      <c r="C2733" s="204" t="s">
        <v>24</v>
      </c>
      <c r="D2733" s="204" t="s">
        <v>1242</v>
      </c>
      <c r="E2733" s="204" t="s">
        <v>3209</v>
      </c>
      <c r="F2733" s="152" t="s">
        <v>2276</v>
      </c>
      <c r="G2733" s="152" t="s">
        <v>2276</v>
      </c>
      <c r="H2733" s="204" t="s">
        <v>524</v>
      </c>
      <c r="I2733" s="204">
        <v>2011</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info'!K$1133</f>
        <v>0</v>
      </c>
      <c r="Y2733" s="204" t="s">
        <v>2276</v>
      </c>
      <c r="Z2733" s="204" t="s">
        <v>68</v>
      </c>
      <c r="AA2733" s="204" t="s">
        <v>86</v>
      </c>
      <c r="AB2733" s="204" t="s">
        <v>76</v>
      </c>
      <c r="AC2733" s="204"/>
      <c r="AD2733" s="204"/>
    </row>
    <row r="2734" spans="1:30" ht="32.5" customHeight="1">
      <c r="A2734" s="19" t="s">
        <v>7385</v>
      </c>
      <c r="B2734" s="19" t="s">
        <v>7510</v>
      </c>
      <c r="C2734" s="204" t="s">
        <v>24</v>
      </c>
      <c r="D2734" s="204" t="s">
        <v>1242</v>
      </c>
      <c r="E2734" s="204" t="s">
        <v>3209</v>
      </c>
      <c r="F2734" s="152" t="s">
        <v>2276</v>
      </c>
      <c r="G2734" s="152" t="s">
        <v>2276</v>
      </c>
      <c r="H2734" s="204" t="s">
        <v>524</v>
      </c>
      <c r="I2734" s="204">
        <v>2011</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info'!K$1134</f>
        <v>0</v>
      </c>
      <c r="Y2734" s="204" t="s">
        <v>2276</v>
      </c>
      <c r="Z2734" s="204" t="s">
        <v>68</v>
      </c>
      <c r="AA2734" s="204" t="s">
        <v>86</v>
      </c>
      <c r="AB2734" s="204" t="s">
        <v>76</v>
      </c>
      <c r="AC2734" s="204"/>
      <c r="AD2734" s="204"/>
    </row>
    <row r="2735" spans="1:30" ht="32.5" customHeight="1">
      <c r="A2735" s="19" t="s">
        <v>7386</v>
      </c>
      <c r="B2735" s="19" t="s">
        <v>7511</v>
      </c>
      <c r="C2735" s="204" t="s">
        <v>24</v>
      </c>
      <c r="D2735" s="204" t="s">
        <v>1242</v>
      </c>
      <c r="E2735" s="204" t="s">
        <v>3209</v>
      </c>
      <c r="F2735" s="152" t="s">
        <v>2276</v>
      </c>
      <c r="G2735" s="152" t="s">
        <v>2276</v>
      </c>
      <c r="H2735" s="204" t="s">
        <v>523</v>
      </c>
      <c r="I2735" s="204">
        <v>2011</v>
      </c>
      <c r="J2735" s="204" t="s">
        <v>2276</v>
      </c>
      <c r="K2735" s="204" t="s">
        <v>2276</v>
      </c>
      <c r="L2735" s="204" t="s">
        <v>2276</v>
      </c>
      <c r="M2735" s="204" t="s">
        <v>2276</v>
      </c>
      <c r="N2735" s="204" t="s">
        <v>2276</v>
      </c>
      <c r="O2735" s="204" t="s">
        <v>2276</v>
      </c>
      <c r="P2735" s="204" t="s">
        <v>2276</v>
      </c>
      <c r="Q2735" s="204" t="s">
        <v>2276</v>
      </c>
      <c r="R2735" s="204" t="s">
        <v>2276</v>
      </c>
      <c r="S2735" s="204" t="s">
        <v>2276</v>
      </c>
      <c r="T2735" s="21">
        <f>1750*0.035</f>
        <v>61.250000000000007</v>
      </c>
      <c r="U2735" s="204" t="s">
        <v>2276</v>
      </c>
      <c r="V2735" s="204" t="s">
        <v>2276</v>
      </c>
      <c r="W2735" s="204" t="s">
        <v>2276</v>
      </c>
      <c r="X2735" s="21">
        <f>T2735/'Record info'!K$1135</f>
        <v>1.0098928276999177E-2</v>
      </c>
      <c r="Y2735" s="204" t="s">
        <v>2276</v>
      </c>
      <c r="Z2735" s="204" t="s">
        <v>68</v>
      </c>
      <c r="AA2735" s="204" t="s">
        <v>86</v>
      </c>
      <c r="AB2735" s="204" t="s">
        <v>76</v>
      </c>
      <c r="AC2735" s="204"/>
      <c r="AD2735" s="204"/>
    </row>
    <row r="2736" spans="1:30" ht="32.5" customHeight="1">
      <c r="A2736" s="19" t="s">
        <v>7387</v>
      </c>
      <c r="B2736" s="19" t="s">
        <v>7512</v>
      </c>
      <c r="C2736" s="204" t="s">
        <v>24</v>
      </c>
      <c r="D2736" s="204" t="s">
        <v>1242</v>
      </c>
      <c r="E2736" s="204" t="s">
        <v>3209</v>
      </c>
      <c r="F2736" s="152" t="s">
        <v>2276</v>
      </c>
      <c r="G2736" s="152" t="s">
        <v>2276</v>
      </c>
      <c r="H2736" s="204" t="s">
        <v>523</v>
      </c>
      <c r="I2736" s="204">
        <v>2011</v>
      </c>
      <c r="J2736" s="204" t="s">
        <v>2276</v>
      </c>
      <c r="K2736" s="204" t="s">
        <v>2276</v>
      </c>
      <c r="L2736" s="204" t="s">
        <v>2276</v>
      </c>
      <c r="M2736" s="204" t="s">
        <v>2276</v>
      </c>
      <c r="N2736" s="204" t="s">
        <v>2276</v>
      </c>
      <c r="O2736" s="204" t="s">
        <v>2276</v>
      </c>
      <c r="P2736" s="204" t="s">
        <v>2276</v>
      </c>
      <c r="Q2736" s="204" t="s">
        <v>2276</v>
      </c>
      <c r="R2736" s="204" t="s">
        <v>2276</v>
      </c>
      <c r="S2736" s="204" t="s">
        <v>2276</v>
      </c>
      <c r="T2736" s="21">
        <f>1750*0.079</f>
        <v>138.25</v>
      </c>
      <c r="U2736" s="204" t="s">
        <v>2276</v>
      </c>
      <c r="V2736" s="204" t="s">
        <v>2276</v>
      </c>
      <c r="W2736" s="204" t="s">
        <v>2276</v>
      </c>
      <c r="X2736" s="21">
        <f>T2736/'Record info'!K$1136</f>
        <v>2.0711610486891387E-2</v>
      </c>
      <c r="Y2736" s="204" t="s">
        <v>2276</v>
      </c>
      <c r="Z2736" s="204" t="s">
        <v>68</v>
      </c>
      <c r="AA2736" s="204" t="s">
        <v>86</v>
      </c>
      <c r="AB2736" s="204" t="s">
        <v>76</v>
      </c>
      <c r="AC2736" s="204"/>
      <c r="AD2736" s="204"/>
    </row>
    <row r="2737" spans="1:30" ht="32.5" customHeight="1">
      <c r="A2737" s="19" t="s">
        <v>7388</v>
      </c>
      <c r="B2737" s="19" t="s">
        <v>7513</v>
      </c>
      <c r="C2737" s="204" t="s">
        <v>24</v>
      </c>
      <c r="D2737" s="204" t="s">
        <v>1242</v>
      </c>
      <c r="E2737" s="204" t="s">
        <v>3209</v>
      </c>
      <c r="F2737" s="152" t="s">
        <v>2276</v>
      </c>
      <c r="G2737" s="152" t="s">
        <v>2276</v>
      </c>
      <c r="H2737" s="204" t="s">
        <v>523</v>
      </c>
      <c r="I2737" s="204">
        <v>2011</v>
      </c>
      <c r="J2737" s="204" t="s">
        <v>2276</v>
      </c>
      <c r="K2737" s="204" t="s">
        <v>2276</v>
      </c>
      <c r="L2737" s="204" t="s">
        <v>2276</v>
      </c>
      <c r="M2737" s="204" t="s">
        <v>2276</v>
      </c>
      <c r="N2737" s="204" t="s">
        <v>2276</v>
      </c>
      <c r="O2737" s="204" t="s">
        <v>2276</v>
      </c>
      <c r="P2737" s="204" t="s">
        <v>2276</v>
      </c>
      <c r="Q2737" s="204" t="s">
        <v>2276</v>
      </c>
      <c r="R2737" s="204" t="s">
        <v>2276</v>
      </c>
      <c r="S2737" s="204" t="s">
        <v>2276</v>
      </c>
      <c r="T2737" s="21">
        <f>1750*0.132</f>
        <v>231</v>
      </c>
      <c r="U2737" s="204" t="s">
        <v>2276</v>
      </c>
      <c r="V2737" s="204" t="s">
        <v>2276</v>
      </c>
      <c r="W2737" s="204" t="s">
        <v>2276</v>
      </c>
      <c r="X2737" s="21">
        <f>T2737/'Record info'!K$1137</f>
        <v>4.1862993838347226E-2</v>
      </c>
      <c r="Y2737" s="204" t="s">
        <v>2276</v>
      </c>
      <c r="Z2737" s="204" t="s">
        <v>68</v>
      </c>
      <c r="AA2737" s="204" t="s">
        <v>86</v>
      </c>
      <c r="AB2737" s="204" t="s">
        <v>76</v>
      </c>
      <c r="AC2737" s="204"/>
      <c r="AD2737" s="204"/>
    </row>
    <row r="2738" spans="1:30" ht="32.5" customHeight="1">
      <c r="A2738" s="19" t="s">
        <v>7389</v>
      </c>
      <c r="B2738" s="19" t="s">
        <v>7514</v>
      </c>
      <c r="C2738" s="204" t="s">
        <v>24</v>
      </c>
      <c r="D2738" s="204" t="s">
        <v>1242</v>
      </c>
      <c r="E2738" s="204" t="s">
        <v>3209</v>
      </c>
      <c r="F2738" s="152" t="s">
        <v>2276</v>
      </c>
      <c r="G2738" s="152" t="s">
        <v>2276</v>
      </c>
      <c r="H2738" s="204" t="s">
        <v>523</v>
      </c>
      <c r="I2738" s="204">
        <v>2011</v>
      </c>
      <c r="J2738" s="204" t="s">
        <v>2276</v>
      </c>
      <c r="K2738" s="204" t="s">
        <v>2276</v>
      </c>
      <c r="L2738" s="204" t="s">
        <v>2276</v>
      </c>
      <c r="M2738" s="204" t="s">
        <v>2276</v>
      </c>
      <c r="N2738" s="204" t="s">
        <v>2276</v>
      </c>
      <c r="O2738" s="204" t="s">
        <v>2276</v>
      </c>
      <c r="P2738" s="204" t="s">
        <v>2276</v>
      </c>
      <c r="Q2738" s="204" t="s">
        <v>2276</v>
      </c>
      <c r="R2738" s="204" t="s">
        <v>2276</v>
      </c>
      <c r="S2738" s="204" t="s">
        <v>2276</v>
      </c>
      <c r="T2738" s="21">
        <f>1750*0.057</f>
        <v>99.75</v>
      </c>
      <c r="U2738" s="204" t="s">
        <v>2276</v>
      </c>
      <c r="V2738" s="204" t="s">
        <v>2276</v>
      </c>
      <c r="W2738" s="204" t="s">
        <v>2276</v>
      </c>
      <c r="X2738" s="21">
        <f>T2738/'Record info'!K$1138</f>
        <v>2.5272358753483659E-2</v>
      </c>
      <c r="Y2738" s="204" t="s">
        <v>2276</v>
      </c>
      <c r="Z2738" s="204" t="s">
        <v>68</v>
      </c>
      <c r="AA2738" s="204" t="s">
        <v>86</v>
      </c>
      <c r="AB2738" s="204" t="s">
        <v>76</v>
      </c>
      <c r="AC2738" s="204"/>
      <c r="AD2738" s="204"/>
    </row>
    <row r="2739" spans="1:30" ht="32.5" customHeight="1">
      <c r="A2739" s="19" t="s">
        <v>7390</v>
      </c>
      <c r="B2739" s="19" t="s">
        <v>7515</v>
      </c>
      <c r="C2739" s="204" t="s">
        <v>24</v>
      </c>
      <c r="D2739" s="204" t="s">
        <v>1242</v>
      </c>
      <c r="E2739" s="204" t="s">
        <v>3209</v>
      </c>
      <c r="F2739" s="152" t="s">
        <v>2276</v>
      </c>
      <c r="G2739" s="152" t="s">
        <v>2276</v>
      </c>
      <c r="H2739" s="204" t="s">
        <v>523</v>
      </c>
      <c r="I2739" s="204">
        <v>2011</v>
      </c>
      <c r="J2739" s="204" t="s">
        <v>2276</v>
      </c>
      <c r="K2739" s="204" t="s">
        <v>2276</v>
      </c>
      <c r="L2739" s="204" t="s">
        <v>2276</v>
      </c>
      <c r="M2739" s="204" t="s">
        <v>2276</v>
      </c>
      <c r="N2739" s="204" t="s">
        <v>2276</v>
      </c>
      <c r="O2739" s="204" t="s">
        <v>2276</v>
      </c>
      <c r="P2739" s="204" t="s">
        <v>2276</v>
      </c>
      <c r="Q2739" s="204" t="s">
        <v>2276</v>
      </c>
      <c r="R2739" s="204" t="s">
        <v>2276</v>
      </c>
      <c r="S2739" s="204" t="s">
        <v>2276</v>
      </c>
      <c r="T2739" s="21">
        <f>1750*0.024</f>
        <v>42</v>
      </c>
      <c r="U2739" s="204" t="s">
        <v>2276</v>
      </c>
      <c r="V2739" s="204" t="s">
        <v>2276</v>
      </c>
      <c r="W2739" s="204" t="s">
        <v>2276</v>
      </c>
      <c r="X2739" s="21">
        <f>T2739/'Record info'!K$1139</f>
        <v>1.4957264957264958E-2</v>
      </c>
      <c r="Y2739" s="204" t="s">
        <v>2276</v>
      </c>
      <c r="Z2739" s="204" t="s">
        <v>68</v>
      </c>
      <c r="AA2739" s="204" t="s">
        <v>86</v>
      </c>
      <c r="AB2739" s="204" t="s">
        <v>76</v>
      </c>
      <c r="AC2739" s="204"/>
      <c r="AD2739" s="204"/>
    </row>
    <row r="2740" spans="1:30" ht="32.5" customHeight="1">
      <c r="A2740" s="19" t="s">
        <v>7391</v>
      </c>
      <c r="B2740" s="19" t="s">
        <v>7516</v>
      </c>
      <c r="C2740" s="204" t="s">
        <v>24</v>
      </c>
      <c r="D2740" s="204" t="s">
        <v>1242</v>
      </c>
      <c r="E2740" s="204" t="s">
        <v>3209</v>
      </c>
      <c r="F2740" s="152" t="s">
        <v>2276</v>
      </c>
      <c r="G2740" s="152" t="s">
        <v>2276</v>
      </c>
      <c r="H2740" s="204" t="s">
        <v>523</v>
      </c>
      <c r="I2740" s="204">
        <v>2011</v>
      </c>
      <c r="J2740" s="204" t="s">
        <v>2276</v>
      </c>
      <c r="K2740" s="204" t="s">
        <v>2276</v>
      </c>
      <c r="L2740" s="204" t="s">
        <v>2276</v>
      </c>
      <c r="M2740" s="204" t="s">
        <v>2276</v>
      </c>
      <c r="N2740" s="204" t="s">
        <v>2276</v>
      </c>
      <c r="O2740" s="204" t="s">
        <v>2276</v>
      </c>
      <c r="P2740" s="204" t="s">
        <v>2276</v>
      </c>
      <c r="Q2740" s="204" t="s">
        <v>2276</v>
      </c>
      <c r="R2740" s="204" t="s">
        <v>2276</v>
      </c>
      <c r="S2740" s="204" t="s">
        <v>2276</v>
      </c>
      <c r="T2740" s="21">
        <f>1750*0.072</f>
        <v>125.99999999999999</v>
      </c>
      <c r="U2740" s="204" t="s">
        <v>2276</v>
      </c>
      <c r="V2740" s="204" t="s">
        <v>2276</v>
      </c>
      <c r="W2740" s="204" t="s">
        <v>2276</v>
      </c>
      <c r="X2740" s="21">
        <f>T2740/'Record info'!K$1140</f>
        <v>2.516476932294787E-2</v>
      </c>
      <c r="Y2740" s="204" t="s">
        <v>2276</v>
      </c>
      <c r="Z2740" s="204" t="s">
        <v>68</v>
      </c>
      <c r="AA2740" s="204" t="s">
        <v>86</v>
      </c>
      <c r="AB2740" s="204" t="s">
        <v>76</v>
      </c>
      <c r="AC2740" s="204"/>
      <c r="AD2740" s="204"/>
    </row>
    <row r="2741" spans="1:30" ht="32.5" customHeight="1">
      <c r="A2741" s="19" t="s">
        <v>7392</v>
      </c>
      <c r="B2741" s="19" t="s">
        <v>7517</v>
      </c>
      <c r="C2741" s="204" t="s">
        <v>24</v>
      </c>
      <c r="D2741" s="204" t="s">
        <v>1242</v>
      </c>
      <c r="E2741" s="204" t="s">
        <v>3209</v>
      </c>
      <c r="F2741" s="152" t="s">
        <v>2276</v>
      </c>
      <c r="G2741" s="152" t="s">
        <v>2276</v>
      </c>
      <c r="H2741" s="204" t="s">
        <v>523</v>
      </c>
      <c r="I2741" s="204">
        <v>2011</v>
      </c>
      <c r="J2741" s="204" t="s">
        <v>2276</v>
      </c>
      <c r="K2741" s="204" t="s">
        <v>2276</v>
      </c>
      <c r="L2741" s="204" t="s">
        <v>2276</v>
      </c>
      <c r="M2741" s="204" t="s">
        <v>2276</v>
      </c>
      <c r="N2741" s="204" t="s">
        <v>2276</v>
      </c>
      <c r="O2741" s="204" t="s">
        <v>2276</v>
      </c>
      <c r="P2741" s="204" t="s">
        <v>2276</v>
      </c>
      <c r="Q2741" s="204" t="s">
        <v>2276</v>
      </c>
      <c r="R2741" s="204" t="s">
        <v>2276</v>
      </c>
      <c r="S2741" s="204" t="s">
        <v>2276</v>
      </c>
      <c r="T2741" s="21">
        <f>1750*0.068</f>
        <v>119.00000000000001</v>
      </c>
      <c r="U2741" s="204" t="s">
        <v>2276</v>
      </c>
      <c r="V2741" s="204" t="s">
        <v>2276</v>
      </c>
      <c r="W2741" s="204" t="s">
        <v>2276</v>
      </c>
      <c r="X2741" s="21">
        <f>T2741/'Record info'!K$1141</f>
        <v>0.10136286201022147</v>
      </c>
      <c r="Y2741" s="204" t="s">
        <v>2276</v>
      </c>
      <c r="Z2741" s="204" t="s">
        <v>68</v>
      </c>
      <c r="AA2741" s="204" t="s">
        <v>86</v>
      </c>
      <c r="AB2741" s="204" t="s">
        <v>76</v>
      </c>
      <c r="AC2741" s="204"/>
      <c r="AD2741" s="204"/>
    </row>
    <row r="2742" spans="1:30" ht="32.5" customHeight="1">
      <c r="A2742" s="19" t="s">
        <v>7393</v>
      </c>
      <c r="B2742" s="19" t="s">
        <v>7518</v>
      </c>
      <c r="C2742" s="204" t="s">
        <v>24</v>
      </c>
      <c r="D2742" s="204" t="s">
        <v>1242</v>
      </c>
      <c r="E2742" s="204" t="s">
        <v>3209</v>
      </c>
      <c r="F2742" s="152" t="s">
        <v>2276</v>
      </c>
      <c r="G2742" s="152" t="s">
        <v>2276</v>
      </c>
      <c r="H2742" s="204" t="s">
        <v>523</v>
      </c>
      <c r="I2742" s="204">
        <v>2011</v>
      </c>
      <c r="J2742" s="204" t="s">
        <v>2276</v>
      </c>
      <c r="K2742" s="204" t="s">
        <v>2276</v>
      </c>
      <c r="L2742" s="204" t="s">
        <v>2276</v>
      </c>
      <c r="M2742" s="204" t="s">
        <v>2276</v>
      </c>
      <c r="N2742" s="204" t="s">
        <v>2276</v>
      </c>
      <c r="O2742" s="204" t="s">
        <v>2276</v>
      </c>
      <c r="P2742" s="204" t="s">
        <v>2276</v>
      </c>
      <c r="Q2742" s="204" t="s">
        <v>2276</v>
      </c>
      <c r="R2742" s="204" t="s">
        <v>2276</v>
      </c>
      <c r="S2742" s="204" t="s">
        <v>2276</v>
      </c>
      <c r="T2742" s="21">
        <f>1750*0.075</f>
        <v>131.25</v>
      </c>
      <c r="U2742" s="204" t="s">
        <v>2276</v>
      </c>
      <c r="V2742" s="204" t="s">
        <v>2276</v>
      </c>
      <c r="W2742" s="204" t="s">
        <v>2276</v>
      </c>
      <c r="X2742" s="21">
        <f>T2742/'Record info'!K$1142</f>
        <v>3.0325785582255082E-2</v>
      </c>
      <c r="Y2742" s="204" t="s">
        <v>2276</v>
      </c>
      <c r="Z2742" s="204" t="s">
        <v>68</v>
      </c>
      <c r="AA2742" s="204" t="s">
        <v>86</v>
      </c>
      <c r="AB2742" s="204" t="s">
        <v>76</v>
      </c>
      <c r="AC2742" s="204"/>
      <c r="AD2742" s="204"/>
    </row>
    <row r="2743" spans="1:30" ht="32.5" customHeight="1">
      <c r="A2743" s="19" t="s">
        <v>7394</v>
      </c>
      <c r="B2743" s="19" t="s">
        <v>7519</v>
      </c>
      <c r="C2743" s="204" t="s">
        <v>24</v>
      </c>
      <c r="D2743" s="204" t="s">
        <v>1242</v>
      </c>
      <c r="E2743" s="204" t="s">
        <v>3209</v>
      </c>
      <c r="F2743" s="152" t="s">
        <v>2276</v>
      </c>
      <c r="G2743" s="152" t="s">
        <v>2276</v>
      </c>
      <c r="H2743" s="204" t="s">
        <v>523</v>
      </c>
      <c r="I2743" s="204">
        <v>2011</v>
      </c>
      <c r="J2743" s="204" t="s">
        <v>2276</v>
      </c>
      <c r="K2743" s="204" t="s">
        <v>2276</v>
      </c>
      <c r="L2743" s="204" t="s">
        <v>2276</v>
      </c>
      <c r="M2743" s="204" t="s">
        <v>2276</v>
      </c>
      <c r="N2743" s="204" t="s">
        <v>2276</v>
      </c>
      <c r="O2743" s="204" t="s">
        <v>2276</v>
      </c>
      <c r="P2743" s="204" t="s">
        <v>2276</v>
      </c>
      <c r="Q2743" s="204" t="s">
        <v>2276</v>
      </c>
      <c r="R2743" s="204" t="s">
        <v>2276</v>
      </c>
      <c r="S2743" s="204" t="s">
        <v>2276</v>
      </c>
      <c r="T2743" s="21">
        <f>1750*0.111</f>
        <v>194.25</v>
      </c>
      <c r="U2743" s="204" t="s">
        <v>2276</v>
      </c>
      <c r="V2743" s="204" t="s">
        <v>2276</v>
      </c>
      <c r="W2743" s="204" t="s">
        <v>2276</v>
      </c>
      <c r="X2743" s="21">
        <f>T2743/'Record info'!K$1143</f>
        <v>8.1106471816283929E-2</v>
      </c>
      <c r="Y2743" s="204" t="s">
        <v>2276</v>
      </c>
      <c r="Z2743" s="204" t="s">
        <v>68</v>
      </c>
      <c r="AA2743" s="204" t="s">
        <v>86</v>
      </c>
      <c r="AB2743" s="204" t="s">
        <v>76</v>
      </c>
      <c r="AC2743" s="204"/>
      <c r="AD2743" s="204"/>
    </row>
    <row r="2744" spans="1:30" ht="32.5" customHeight="1">
      <c r="A2744" s="19" t="s">
        <v>7395</v>
      </c>
      <c r="B2744" s="19" t="s">
        <v>7520</v>
      </c>
      <c r="C2744" s="204" t="s">
        <v>24</v>
      </c>
      <c r="D2744" s="204" t="s">
        <v>1242</v>
      </c>
      <c r="E2744" s="204" t="s">
        <v>3209</v>
      </c>
      <c r="F2744" s="152" t="s">
        <v>2276</v>
      </c>
      <c r="G2744" s="152" t="s">
        <v>2276</v>
      </c>
      <c r="H2744" s="204" t="s">
        <v>523</v>
      </c>
      <c r="I2744" s="204">
        <v>2011</v>
      </c>
      <c r="J2744" s="204" t="s">
        <v>2276</v>
      </c>
      <c r="K2744" s="204" t="s">
        <v>2276</v>
      </c>
      <c r="L2744" s="204" t="s">
        <v>2276</v>
      </c>
      <c r="M2744" s="204" t="s">
        <v>2276</v>
      </c>
      <c r="N2744" s="204" t="s">
        <v>2276</v>
      </c>
      <c r="O2744" s="204" t="s">
        <v>2276</v>
      </c>
      <c r="P2744" s="204" t="s">
        <v>2276</v>
      </c>
      <c r="Q2744" s="204" t="s">
        <v>2276</v>
      </c>
      <c r="R2744" s="204" t="s">
        <v>2276</v>
      </c>
      <c r="S2744" s="204" t="s">
        <v>2276</v>
      </c>
      <c r="T2744" s="21">
        <f>1750*0.106</f>
        <v>185.5</v>
      </c>
      <c r="U2744" s="204" t="s">
        <v>2276</v>
      </c>
      <c r="V2744" s="204" t="s">
        <v>2276</v>
      </c>
      <c r="W2744" s="204" t="s">
        <v>2276</v>
      </c>
      <c r="X2744" s="21">
        <f>T2744/'Record info'!K$1144</f>
        <v>6.9397680508791623E-2</v>
      </c>
      <c r="Y2744" s="204" t="s">
        <v>2276</v>
      </c>
      <c r="Z2744" s="204" t="s">
        <v>68</v>
      </c>
      <c r="AA2744" s="204" t="s">
        <v>86</v>
      </c>
      <c r="AB2744" s="204" t="s">
        <v>76</v>
      </c>
      <c r="AC2744" s="204"/>
      <c r="AD2744" s="204"/>
    </row>
    <row r="2745" spans="1:30" ht="32.5" customHeight="1">
      <c r="A2745" s="19" t="s">
        <v>7396</v>
      </c>
      <c r="B2745" s="19" t="s">
        <v>7521</v>
      </c>
      <c r="C2745" s="204" t="s">
        <v>24</v>
      </c>
      <c r="D2745" s="204" t="s">
        <v>1242</v>
      </c>
      <c r="E2745" s="204" t="s">
        <v>3209</v>
      </c>
      <c r="F2745" s="152" t="s">
        <v>2276</v>
      </c>
      <c r="G2745" s="152" t="s">
        <v>2276</v>
      </c>
      <c r="H2745" s="204" t="s">
        <v>523</v>
      </c>
      <c r="I2745" s="204">
        <v>2011</v>
      </c>
      <c r="J2745" s="204" t="s">
        <v>2276</v>
      </c>
      <c r="K2745" s="204" t="s">
        <v>2276</v>
      </c>
      <c r="L2745" s="204" t="s">
        <v>2276</v>
      </c>
      <c r="M2745" s="204" t="s">
        <v>2276</v>
      </c>
      <c r="N2745" s="204" t="s">
        <v>2276</v>
      </c>
      <c r="O2745" s="204" t="s">
        <v>2276</v>
      </c>
      <c r="P2745" s="204" t="s">
        <v>2276</v>
      </c>
      <c r="Q2745" s="204" t="s">
        <v>2276</v>
      </c>
      <c r="R2745" s="204" t="s">
        <v>2276</v>
      </c>
      <c r="S2745" s="204" t="s">
        <v>2276</v>
      </c>
      <c r="T2745" s="21">
        <f>1750*0.166</f>
        <v>290.5</v>
      </c>
      <c r="U2745" s="204" t="s">
        <v>2276</v>
      </c>
      <c r="V2745" s="204" t="s">
        <v>2276</v>
      </c>
      <c r="W2745" s="204" t="s">
        <v>2276</v>
      </c>
      <c r="X2745" s="21">
        <f>T2745/'Record info'!K$1145</f>
        <v>0.12882483370288247</v>
      </c>
      <c r="Y2745" s="204" t="s">
        <v>2276</v>
      </c>
      <c r="Z2745" s="204" t="s">
        <v>68</v>
      </c>
      <c r="AA2745" s="204" t="s">
        <v>86</v>
      </c>
      <c r="AB2745" s="204" t="s">
        <v>76</v>
      </c>
      <c r="AC2745" s="204"/>
      <c r="AD2745" s="204"/>
    </row>
    <row r="2746" spans="1:30" ht="32.5" customHeight="1">
      <c r="A2746" s="19" t="s">
        <v>7294</v>
      </c>
      <c r="B2746" s="19" t="s">
        <v>7522</v>
      </c>
      <c r="C2746" s="204" t="s">
        <v>24</v>
      </c>
      <c r="D2746" s="204" t="s">
        <v>1242</v>
      </c>
      <c r="E2746" s="204" t="s">
        <v>3209</v>
      </c>
      <c r="F2746" s="152" t="s">
        <v>2276</v>
      </c>
      <c r="G2746" s="152" t="s">
        <v>2276</v>
      </c>
      <c r="H2746" s="204" t="s">
        <v>523</v>
      </c>
      <c r="I2746" s="204">
        <v>2012</v>
      </c>
      <c r="J2746" s="204" t="s">
        <v>2276</v>
      </c>
      <c r="K2746" s="204" t="s">
        <v>2276</v>
      </c>
      <c r="L2746" s="204" t="s">
        <v>2276</v>
      </c>
      <c r="M2746" s="204" t="s">
        <v>2276</v>
      </c>
      <c r="N2746" s="204" t="s">
        <v>2276</v>
      </c>
      <c r="O2746" s="204" t="s">
        <v>2276</v>
      </c>
      <c r="P2746" s="204" t="s">
        <v>2276</v>
      </c>
      <c r="Q2746" s="204" t="s">
        <v>2276</v>
      </c>
      <c r="R2746" s="204" t="s">
        <v>2276</v>
      </c>
      <c r="S2746" s="204" t="s">
        <v>2276</v>
      </c>
      <c r="T2746" s="21">
        <f>450*0.027</f>
        <v>12.15</v>
      </c>
      <c r="U2746" s="204" t="s">
        <v>2276</v>
      </c>
      <c r="V2746" s="204" t="s">
        <v>2276</v>
      </c>
      <c r="W2746" s="204" t="s">
        <v>2276</v>
      </c>
      <c r="X2746" s="21">
        <f>T2746/'Record info'!K$1128</f>
        <v>4.3392857142857148E-3</v>
      </c>
      <c r="Y2746" s="204" t="s">
        <v>2276</v>
      </c>
      <c r="Z2746" s="204" t="s">
        <v>68</v>
      </c>
      <c r="AA2746" s="204" t="s">
        <v>86</v>
      </c>
      <c r="AB2746" s="204" t="s">
        <v>76</v>
      </c>
      <c r="AC2746" s="204"/>
      <c r="AD2746" s="204"/>
    </row>
    <row r="2747" spans="1:30" ht="32.5" customHeight="1">
      <c r="A2747" s="19" t="s">
        <v>7380</v>
      </c>
      <c r="B2747" s="19" t="s">
        <v>7523</v>
      </c>
      <c r="C2747" s="204" t="s">
        <v>24</v>
      </c>
      <c r="D2747" s="204" t="s">
        <v>1242</v>
      </c>
      <c r="E2747" s="204" t="s">
        <v>3209</v>
      </c>
      <c r="F2747" s="152" t="s">
        <v>2276</v>
      </c>
      <c r="G2747" s="152" t="s">
        <v>2276</v>
      </c>
      <c r="H2747" s="204" t="s">
        <v>523</v>
      </c>
      <c r="I2747" s="204">
        <v>2012</v>
      </c>
      <c r="J2747" s="204" t="s">
        <v>2276</v>
      </c>
      <c r="K2747" s="204" t="s">
        <v>2276</v>
      </c>
      <c r="L2747" s="204" t="s">
        <v>2276</v>
      </c>
      <c r="M2747" s="204" t="s">
        <v>2276</v>
      </c>
      <c r="N2747" s="204" t="s">
        <v>2276</v>
      </c>
      <c r="O2747" s="204" t="s">
        <v>2276</v>
      </c>
      <c r="P2747" s="204" t="s">
        <v>2276</v>
      </c>
      <c r="Q2747" s="204" t="s">
        <v>2276</v>
      </c>
      <c r="R2747" s="204" t="s">
        <v>2276</v>
      </c>
      <c r="S2747" s="204" t="s">
        <v>2276</v>
      </c>
      <c r="T2747" s="21">
        <f>450*0.041</f>
        <v>18.45</v>
      </c>
      <c r="U2747" s="204" t="s">
        <v>2276</v>
      </c>
      <c r="V2747" s="204" t="s">
        <v>2276</v>
      </c>
      <c r="W2747" s="204" t="s">
        <v>2276</v>
      </c>
      <c r="X2747" s="21">
        <f>T2747/'Record info'!K$1129</f>
        <v>5.2489331436699855E-3</v>
      </c>
      <c r="Y2747" s="204" t="s">
        <v>2276</v>
      </c>
      <c r="Z2747" s="204" t="s">
        <v>68</v>
      </c>
      <c r="AA2747" s="204" t="s">
        <v>86</v>
      </c>
      <c r="AB2747" s="204" t="s">
        <v>76</v>
      </c>
      <c r="AC2747" s="204"/>
      <c r="AD2747" s="204"/>
    </row>
    <row r="2748" spans="1:30" ht="32.5" customHeight="1">
      <c r="A2748" s="19" t="s">
        <v>7381</v>
      </c>
      <c r="B2748" s="19" t="s">
        <v>7524</v>
      </c>
      <c r="C2748" s="204" t="s">
        <v>24</v>
      </c>
      <c r="D2748" s="204" t="s">
        <v>1242</v>
      </c>
      <c r="E2748" s="204" t="s">
        <v>3209</v>
      </c>
      <c r="F2748" s="152" t="s">
        <v>2276</v>
      </c>
      <c r="G2748" s="152" t="s">
        <v>2276</v>
      </c>
      <c r="H2748" s="204" t="s">
        <v>523</v>
      </c>
      <c r="I2748" s="204">
        <v>2012</v>
      </c>
      <c r="J2748" s="204" t="s">
        <v>2276</v>
      </c>
      <c r="K2748" s="204" t="s">
        <v>2276</v>
      </c>
      <c r="L2748" s="204" t="s">
        <v>2276</v>
      </c>
      <c r="M2748" s="204" t="s">
        <v>2276</v>
      </c>
      <c r="N2748" s="204" t="s">
        <v>2276</v>
      </c>
      <c r="O2748" s="204" t="s">
        <v>2276</v>
      </c>
      <c r="P2748" s="204" t="s">
        <v>2276</v>
      </c>
      <c r="Q2748" s="204" t="s">
        <v>2276</v>
      </c>
      <c r="R2748" s="204" t="s">
        <v>2276</v>
      </c>
      <c r="S2748" s="204" t="s">
        <v>2276</v>
      </c>
      <c r="T2748" s="21">
        <f>450*0.004</f>
        <v>1.8</v>
      </c>
      <c r="U2748" s="204" t="s">
        <v>2276</v>
      </c>
      <c r="V2748" s="204" t="s">
        <v>2276</v>
      </c>
      <c r="W2748" s="204" t="s">
        <v>2276</v>
      </c>
      <c r="X2748" s="21">
        <f>T2748/'Record info'!K$1130</f>
        <v>2.6678523788350376E-4</v>
      </c>
      <c r="Y2748" s="204" t="s">
        <v>2276</v>
      </c>
      <c r="Z2748" s="204" t="s">
        <v>68</v>
      </c>
      <c r="AA2748" s="204" t="s">
        <v>86</v>
      </c>
      <c r="AB2748" s="204" t="s">
        <v>76</v>
      </c>
      <c r="AC2748" s="204"/>
      <c r="AD2748" s="204"/>
    </row>
    <row r="2749" spans="1:30" ht="32.5" customHeight="1">
      <c r="A2749" s="19" t="s">
        <v>7382</v>
      </c>
      <c r="B2749" s="19" t="s">
        <v>7525</v>
      </c>
      <c r="C2749" s="204" t="s">
        <v>24</v>
      </c>
      <c r="D2749" s="204" t="s">
        <v>1242</v>
      </c>
      <c r="E2749" s="204" t="s">
        <v>3209</v>
      </c>
      <c r="F2749" s="152" t="s">
        <v>2276</v>
      </c>
      <c r="G2749" s="152" t="s">
        <v>2276</v>
      </c>
      <c r="H2749" s="204" t="s">
        <v>523</v>
      </c>
      <c r="I2749" s="204">
        <v>2012</v>
      </c>
      <c r="J2749" s="204" t="s">
        <v>2276</v>
      </c>
      <c r="K2749" s="204" t="s">
        <v>2276</v>
      </c>
      <c r="L2749" s="204" t="s">
        <v>2276</v>
      </c>
      <c r="M2749" s="204" t="s">
        <v>2276</v>
      </c>
      <c r="N2749" s="204" t="s">
        <v>2276</v>
      </c>
      <c r="O2749" s="204" t="s">
        <v>2276</v>
      </c>
      <c r="P2749" s="204" t="s">
        <v>2276</v>
      </c>
      <c r="Q2749" s="204" t="s">
        <v>2276</v>
      </c>
      <c r="R2749" s="204" t="s">
        <v>2276</v>
      </c>
      <c r="S2749" s="204" t="s">
        <v>2276</v>
      </c>
      <c r="T2749" s="21">
        <f>450*0.004</f>
        <v>1.8</v>
      </c>
      <c r="U2749" s="204" t="s">
        <v>2276</v>
      </c>
      <c r="V2749" s="204" t="s">
        <v>2276</v>
      </c>
      <c r="W2749" s="204" t="s">
        <v>2276</v>
      </c>
      <c r="X2749" s="21">
        <f>T2749/'Record info'!K$1131</f>
        <v>3.5545023696682463E-4</v>
      </c>
      <c r="Y2749" s="204" t="s">
        <v>2276</v>
      </c>
      <c r="Z2749" s="204" t="s">
        <v>68</v>
      </c>
      <c r="AA2749" s="204" t="s">
        <v>86</v>
      </c>
      <c r="AB2749" s="204" t="s">
        <v>76</v>
      </c>
      <c r="AC2749" s="204"/>
      <c r="AD2749" s="204"/>
    </row>
    <row r="2750" spans="1:30" ht="32.5" customHeight="1">
      <c r="A2750" s="19" t="s">
        <v>7383</v>
      </c>
      <c r="B2750" s="19" t="s">
        <v>7526</v>
      </c>
      <c r="C2750" s="204" t="s">
        <v>24</v>
      </c>
      <c r="D2750" s="204" t="s">
        <v>1242</v>
      </c>
      <c r="E2750" s="204" t="s">
        <v>3209</v>
      </c>
      <c r="F2750" s="152" t="s">
        <v>2276</v>
      </c>
      <c r="G2750" s="152" t="s">
        <v>2276</v>
      </c>
      <c r="H2750" s="204" t="s">
        <v>524</v>
      </c>
      <c r="I2750" s="204">
        <v>2012</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f>T2750/'Record info'!K$1132</f>
        <v>0</v>
      </c>
      <c r="Y2750" s="204" t="s">
        <v>2276</v>
      </c>
      <c r="Z2750" s="204" t="s">
        <v>68</v>
      </c>
      <c r="AA2750" s="204" t="s">
        <v>86</v>
      </c>
      <c r="AB2750" s="204" t="s">
        <v>76</v>
      </c>
      <c r="AC2750" s="204"/>
      <c r="AD2750" s="204"/>
    </row>
    <row r="2751" spans="1:30" ht="32.5" customHeight="1">
      <c r="A2751" s="19" t="s">
        <v>7384</v>
      </c>
      <c r="B2751" s="19" t="s">
        <v>7527</v>
      </c>
      <c r="C2751" s="204" t="s">
        <v>24</v>
      </c>
      <c r="D2751" s="204" t="s">
        <v>1242</v>
      </c>
      <c r="E2751" s="204" t="s">
        <v>3209</v>
      </c>
      <c r="F2751" s="152" t="s">
        <v>2276</v>
      </c>
      <c r="G2751" s="152" t="s">
        <v>2276</v>
      </c>
      <c r="H2751" s="204" t="s">
        <v>524</v>
      </c>
      <c r="I2751" s="204">
        <v>2012</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info'!K$1133</f>
        <v>0</v>
      </c>
      <c r="Y2751" s="204" t="s">
        <v>2276</v>
      </c>
      <c r="Z2751" s="204" t="s">
        <v>68</v>
      </c>
      <c r="AA2751" s="204" t="s">
        <v>86</v>
      </c>
      <c r="AB2751" s="204" t="s">
        <v>76</v>
      </c>
      <c r="AC2751" s="204"/>
      <c r="AD2751" s="204"/>
    </row>
    <row r="2752" spans="1:30" ht="32.5" customHeight="1">
      <c r="A2752" s="19" t="s">
        <v>7385</v>
      </c>
      <c r="B2752" s="19" t="s">
        <v>7528</v>
      </c>
      <c r="C2752" s="204" t="s">
        <v>24</v>
      </c>
      <c r="D2752" s="204" t="s">
        <v>1242</v>
      </c>
      <c r="E2752" s="204" t="s">
        <v>3209</v>
      </c>
      <c r="F2752" s="152" t="s">
        <v>2276</v>
      </c>
      <c r="G2752" s="152" t="s">
        <v>2276</v>
      </c>
      <c r="H2752" s="204" t="s">
        <v>524</v>
      </c>
      <c r="I2752" s="204">
        <v>2012</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info'!K$1134</f>
        <v>0</v>
      </c>
      <c r="Y2752" s="204" t="s">
        <v>2276</v>
      </c>
      <c r="Z2752" s="204" t="s">
        <v>68</v>
      </c>
      <c r="AA2752" s="204" t="s">
        <v>86</v>
      </c>
      <c r="AB2752" s="204" t="s">
        <v>76</v>
      </c>
      <c r="AC2752" s="204"/>
      <c r="AD2752" s="204"/>
    </row>
    <row r="2753" spans="1:30" ht="32.5" customHeight="1">
      <c r="A2753" s="19" t="s">
        <v>7386</v>
      </c>
      <c r="B2753" s="19" t="s">
        <v>7529</v>
      </c>
      <c r="C2753" s="204" t="s">
        <v>24</v>
      </c>
      <c r="D2753" s="204" t="s">
        <v>1242</v>
      </c>
      <c r="E2753" s="204" t="s">
        <v>3209</v>
      </c>
      <c r="F2753" s="152" t="s">
        <v>2276</v>
      </c>
      <c r="G2753" s="152" t="s">
        <v>2276</v>
      </c>
      <c r="H2753" s="204" t="s">
        <v>523</v>
      </c>
      <c r="I2753" s="204">
        <v>2012</v>
      </c>
      <c r="J2753" s="204" t="s">
        <v>2276</v>
      </c>
      <c r="K2753" s="204" t="s">
        <v>2276</v>
      </c>
      <c r="L2753" s="204" t="s">
        <v>2276</v>
      </c>
      <c r="M2753" s="204" t="s">
        <v>2276</v>
      </c>
      <c r="N2753" s="204" t="s">
        <v>2276</v>
      </c>
      <c r="O2753" s="204" t="s">
        <v>2276</v>
      </c>
      <c r="P2753" s="204" t="s">
        <v>2276</v>
      </c>
      <c r="Q2753" s="204" t="s">
        <v>2276</v>
      </c>
      <c r="R2753" s="204" t="s">
        <v>2276</v>
      </c>
      <c r="S2753" s="204" t="s">
        <v>2276</v>
      </c>
      <c r="T2753" s="21">
        <f>450*0.035</f>
        <v>15.750000000000002</v>
      </c>
      <c r="U2753" s="204" t="s">
        <v>2276</v>
      </c>
      <c r="V2753" s="204" t="s">
        <v>2276</v>
      </c>
      <c r="W2753" s="204" t="s">
        <v>2276</v>
      </c>
      <c r="X2753" s="21">
        <f>T2753/'Record info'!K$1135</f>
        <v>2.5968672712283597E-3</v>
      </c>
      <c r="Y2753" s="204" t="s">
        <v>2276</v>
      </c>
      <c r="Z2753" s="204" t="s">
        <v>68</v>
      </c>
      <c r="AA2753" s="204" t="s">
        <v>86</v>
      </c>
      <c r="AB2753" s="204" t="s">
        <v>76</v>
      </c>
      <c r="AC2753" s="204"/>
      <c r="AD2753" s="204"/>
    </row>
    <row r="2754" spans="1:30" ht="32.5" customHeight="1">
      <c r="A2754" s="19" t="s">
        <v>7387</v>
      </c>
      <c r="B2754" s="19" t="s">
        <v>7530</v>
      </c>
      <c r="C2754" s="204" t="s">
        <v>24</v>
      </c>
      <c r="D2754" s="204" t="s">
        <v>1242</v>
      </c>
      <c r="E2754" s="204" t="s">
        <v>3209</v>
      </c>
      <c r="F2754" s="152" t="s">
        <v>2276</v>
      </c>
      <c r="G2754" s="152" t="s">
        <v>2276</v>
      </c>
      <c r="H2754" s="204" t="s">
        <v>523</v>
      </c>
      <c r="I2754" s="204">
        <v>2012</v>
      </c>
      <c r="J2754" s="204" t="s">
        <v>2276</v>
      </c>
      <c r="K2754" s="204" t="s">
        <v>2276</v>
      </c>
      <c r="L2754" s="204" t="s">
        <v>2276</v>
      </c>
      <c r="M2754" s="204" t="s">
        <v>2276</v>
      </c>
      <c r="N2754" s="204" t="s">
        <v>2276</v>
      </c>
      <c r="O2754" s="204" t="s">
        <v>2276</v>
      </c>
      <c r="P2754" s="204" t="s">
        <v>2276</v>
      </c>
      <c r="Q2754" s="204" t="s">
        <v>2276</v>
      </c>
      <c r="R2754" s="204" t="s">
        <v>2276</v>
      </c>
      <c r="S2754" s="204" t="s">
        <v>2276</v>
      </c>
      <c r="T2754" s="21">
        <f>450*0.079</f>
        <v>35.549999999999997</v>
      </c>
      <c r="U2754" s="204" t="s">
        <v>2276</v>
      </c>
      <c r="V2754" s="204" t="s">
        <v>2276</v>
      </c>
      <c r="W2754" s="204" t="s">
        <v>2276</v>
      </c>
      <c r="X2754" s="21">
        <f>T2754/'Record info'!K$1136</f>
        <v>5.3258426966292134E-3</v>
      </c>
      <c r="Y2754" s="204" t="s">
        <v>2276</v>
      </c>
      <c r="Z2754" s="204" t="s">
        <v>68</v>
      </c>
      <c r="AA2754" s="204" t="s">
        <v>86</v>
      </c>
      <c r="AB2754" s="204" t="s">
        <v>76</v>
      </c>
      <c r="AC2754" s="204"/>
      <c r="AD2754" s="204"/>
    </row>
    <row r="2755" spans="1:30" ht="32.5" customHeight="1">
      <c r="A2755" s="19" t="s">
        <v>7388</v>
      </c>
      <c r="B2755" s="19" t="s">
        <v>7531</v>
      </c>
      <c r="C2755" s="204" t="s">
        <v>24</v>
      </c>
      <c r="D2755" s="204" t="s">
        <v>1242</v>
      </c>
      <c r="E2755" s="204" t="s">
        <v>3209</v>
      </c>
      <c r="F2755" s="152" t="s">
        <v>2276</v>
      </c>
      <c r="G2755" s="152" t="s">
        <v>2276</v>
      </c>
      <c r="H2755" s="204" t="s">
        <v>523</v>
      </c>
      <c r="I2755" s="204">
        <v>2012</v>
      </c>
      <c r="J2755" s="204" t="s">
        <v>2276</v>
      </c>
      <c r="K2755" s="204" t="s">
        <v>2276</v>
      </c>
      <c r="L2755" s="204" t="s">
        <v>2276</v>
      </c>
      <c r="M2755" s="204" t="s">
        <v>2276</v>
      </c>
      <c r="N2755" s="204" t="s">
        <v>2276</v>
      </c>
      <c r="O2755" s="204" t="s">
        <v>2276</v>
      </c>
      <c r="P2755" s="204" t="s">
        <v>2276</v>
      </c>
      <c r="Q2755" s="204" t="s">
        <v>2276</v>
      </c>
      <c r="R2755" s="204" t="s">
        <v>2276</v>
      </c>
      <c r="S2755" s="204" t="s">
        <v>2276</v>
      </c>
      <c r="T2755" s="21">
        <f>450*0.132</f>
        <v>59.400000000000006</v>
      </c>
      <c r="U2755" s="204" t="s">
        <v>2276</v>
      </c>
      <c r="V2755" s="204" t="s">
        <v>2276</v>
      </c>
      <c r="W2755" s="204" t="s">
        <v>2276</v>
      </c>
      <c r="X2755" s="21">
        <f>T2755/'Record info'!K$1137</f>
        <v>1.076476984414643E-2</v>
      </c>
      <c r="Y2755" s="204" t="s">
        <v>2276</v>
      </c>
      <c r="Z2755" s="204" t="s">
        <v>68</v>
      </c>
      <c r="AA2755" s="204" t="s">
        <v>86</v>
      </c>
      <c r="AB2755" s="204" t="s">
        <v>76</v>
      </c>
      <c r="AC2755" s="204"/>
      <c r="AD2755" s="204"/>
    </row>
    <row r="2756" spans="1:30" ht="32.5" customHeight="1">
      <c r="A2756" s="19" t="s">
        <v>7389</v>
      </c>
      <c r="B2756" s="19" t="s">
        <v>7532</v>
      </c>
      <c r="C2756" s="204" t="s">
        <v>24</v>
      </c>
      <c r="D2756" s="204" t="s">
        <v>1242</v>
      </c>
      <c r="E2756" s="204" t="s">
        <v>3209</v>
      </c>
      <c r="F2756" s="152" t="s">
        <v>2276</v>
      </c>
      <c r="G2756" s="152" t="s">
        <v>2276</v>
      </c>
      <c r="H2756" s="204" t="s">
        <v>523</v>
      </c>
      <c r="I2756" s="204">
        <v>2012</v>
      </c>
      <c r="J2756" s="204" t="s">
        <v>2276</v>
      </c>
      <c r="K2756" s="204" t="s">
        <v>2276</v>
      </c>
      <c r="L2756" s="204" t="s">
        <v>2276</v>
      </c>
      <c r="M2756" s="204" t="s">
        <v>2276</v>
      </c>
      <c r="N2756" s="204" t="s">
        <v>2276</v>
      </c>
      <c r="O2756" s="204" t="s">
        <v>2276</v>
      </c>
      <c r="P2756" s="204" t="s">
        <v>2276</v>
      </c>
      <c r="Q2756" s="204" t="s">
        <v>2276</v>
      </c>
      <c r="R2756" s="204" t="s">
        <v>2276</v>
      </c>
      <c r="S2756" s="204" t="s">
        <v>2276</v>
      </c>
      <c r="T2756" s="21">
        <f>450*0.057</f>
        <v>25.650000000000002</v>
      </c>
      <c r="U2756" s="204" t="s">
        <v>2276</v>
      </c>
      <c r="V2756" s="204" t="s">
        <v>2276</v>
      </c>
      <c r="W2756" s="204" t="s">
        <v>2276</v>
      </c>
      <c r="X2756" s="21">
        <f>T2756/'Record info'!K$1138</f>
        <v>6.4986065366100841E-3</v>
      </c>
      <c r="Y2756" s="204" t="s">
        <v>2276</v>
      </c>
      <c r="Z2756" s="204" t="s">
        <v>68</v>
      </c>
      <c r="AA2756" s="204" t="s">
        <v>86</v>
      </c>
      <c r="AB2756" s="204" t="s">
        <v>76</v>
      </c>
      <c r="AC2756" s="204"/>
      <c r="AD2756" s="204"/>
    </row>
    <row r="2757" spans="1:30" ht="32.5" customHeight="1">
      <c r="A2757" s="19" t="s">
        <v>7390</v>
      </c>
      <c r="B2757" s="19" t="s">
        <v>7533</v>
      </c>
      <c r="C2757" s="204" t="s">
        <v>24</v>
      </c>
      <c r="D2757" s="204" t="s">
        <v>1242</v>
      </c>
      <c r="E2757" s="204" t="s">
        <v>3209</v>
      </c>
      <c r="F2757" s="152" t="s">
        <v>2276</v>
      </c>
      <c r="G2757" s="152" t="s">
        <v>2276</v>
      </c>
      <c r="H2757" s="204" t="s">
        <v>523</v>
      </c>
      <c r="I2757" s="204">
        <v>2012</v>
      </c>
      <c r="J2757" s="204" t="s">
        <v>2276</v>
      </c>
      <c r="K2757" s="204" t="s">
        <v>2276</v>
      </c>
      <c r="L2757" s="204" t="s">
        <v>2276</v>
      </c>
      <c r="M2757" s="204" t="s">
        <v>2276</v>
      </c>
      <c r="N2757" s="204" t="s">
        <v>2276</v>
      </c>
      <c r="O2757" s="204" t="s">
        <v>2276</v>
      </c>
      <c r="P2757" s="204" t="s">
        <v>2276</v>
      </c>
      <c r="Q2757" s="204" t="s">
        <v>2276</v>
      </c>
      <c r="R2757" s="204" t="s">
        <v>2276</v>
      </c>
      <c r="S2757" s="204" t="s">
        <v>2276</v>
      </c>
      <c r="T2757" s="21">
        <f>450*0.024</f>
        <v>10.8</v>
      </c>
      <c r="U2757" s="204" t="s">
        <v>2276</v>
      </c>
      <c r="V2757" s="204" t="s">
        <v>2276</v>
      </c>
      <c r="W2757" s="204" t="s">
        <v>2276</v>
      </c>
      <c r="X2757" s="21">
        <f>T2757/'Record info'!K$1139</f>
        <v>3.8461538461538464E-3</v>
      </c>
      <c r="Y2757" s="204" t="s">
        <v>2276</v>
      </c>
      <c r="Z2757" s="204" t="s">
        <v>68</v>
      </c>
      <c r="AA2757" s="204" t="s">
        <v>86</v>
      </c>
      <c r="AB2757" s="204" t="s">
        <v>76</v>
      </c>
      <c r="AC2757" s="204"/>
      <c r="AD2757" s="204"/>
    </row>
    <row r="2758" spans="1:30" ht="32.5" customHeight="1">
      <c r="A2758" s="19" t="s">
        <v>7391</v>
      </c>
      <c r="B2758" s="19" t="s">
        <v>7534</v>
      </c>
      <c r="C2758" s="204" t="s">
        <v>24</v>
      </c>
      <c r="D2758" s="204" t="s">
        <v>1242</v>
      </c>
      <c r="E2758" s="204" t="s">
        <v>3209</v>
      </c>
      <c r="F2758" s="152" t="s">
        <v>2276</v>
      </c>
      <c r="G2758" s="152" t="s">
        <v>2276</v>
      </c>
      <c r="H2758" s="204" t="s">
        <v>523</v>
      </c>
      <c r="I2758" s="204">
        <v>2012</v>
      </c>
      <c r="J2758" s="204" t="s">
        <v>2276</v>
      </c>
      <c r="K2758" s="204" t="s">
        <v>2276</v>
      </c>
      <c r="L2758" s="204" t="s">
        <v>2276</v>
      </c>
      <c r="M2758" s="204" t="s">
        <v>2276</v>
      </c>
      <c r="N2758" s="204" t="s">
        <v>2276</v>
      </c>
      <c r="O2758" s="204" t="s">
        <v>2276</v>
      </c>
      <c r="P2758" s="204" t="s">
        <v>2276</v>
      </c>
      <c r="Q2758" s="204" t="s">
        <v>2276</v>
      </c>
      <c r="R2758" s="204" t="s">
        <v>2276</v>
      </c>
      <c r="S2758" s="204" t="s">
        <v>2276</v>
      </c>
      <c r="T2758" s="21">
        <f>450*0.072</f>
        <v>32.4</v>
      </c>
      <c r="U2758" s="204" t="s">
        <v>2276</v>
      </c>
      <c r="V2758" s="204" t="s">
        <v>2276</v>
      </c>
      <c r="W2758" s="204" t="s">
        <v>2276</v>
      </c>
      <c r="X2758" s="21">
        <f>T2758/'Record info'!K$1140</f>
        <v>6.4709406830437384E-3</v>
      </c>
      <c r="Y2758" s="204" t="s">
        <v>2276</v>
      </c>
      <c r="Z2758" s="204" t="s">
        <v>68</v>
      </c>
      <c r="AA2758" s="204" t="s">
        <v>86</v>
      </c>
      <c r="AB2758" s="204" t="s">
        <v>76</v>
      </c>
      <c r="AC2758" s="204"/>
      <c r="AD2758" s="204"/>
    </row>
    <row r="2759" spans="1:30" ht="32.5" customHeight="1">
      <c r="A2759" s="19" t="s">
        <v>7392</v>
      </c>
      <c r="B2759" s="19" t="s">
        <v>7535</v>
      </c>
      <c r="C2759" s="204" t="s">
        <v>24</v>
      </c>
      <c r="D2759" s="204" t="s">
        <v>1242</v>
      </c>
      <c r="E2759" s="204" t="s">
        <v>3209</v>
      </c>
      <c r="F2759" s="152" t="s">
        <v>2276</v>
      </c>
      <c r="G2759" s="152" t="s">
        <v>2276</v>
      </c>
      <c r="H2759" s="204" t="s">
        <v>523</v>
      </c>
      <c r="I2759" s="204">
        <v>2012</v>
      </c>
      <c r="J2759" s="204" t="s">
        <v>2276</v>
      </c>
      <c r="K2759" s="204" t="s">
        <v>2276</v>
      </c>
      <c r="L2759" s="204" t="s">
        <v>2276</v>
      </c>
      <c r="M2759" s="204" t="s">
        <v>2276</v>
      </c>
      <c r="N2759" s="204" t="s">
        <v>2276</v>
      </c>
      <c r="O2759" s="204" t="s">
        <v>2276</v>
      </c>
      <c r="P2759" s="204" t="s">
        <v>2276</v>
      </c>
      <c r="Q2759" s="204" t="s">
        <v>2276</v>
      </c>
      <c r="R2759" s="204" t="s">
        <v>2276</v>
      </c>
      <c r="S2759" s="204" t="s">
        <v>2276</v>
      </c>
      <c r="T2759" s="21">
        <f>450*0.068</f>
        <v>30.6</v>
      </c>
      <c r="U2759" s="204" t="s">
        <v>2276</v>
      </c>
      <c r="V2759" s="204" t="s">
        <v>2276</v>
      </c>
      <c r="W2759" s="204" t="s">
        <v>2276</v>
      </c>
      <c r="X2759" s="21">
        <f>T2759/'Record info'!K$1141</f>
        <v>2.6064735945485522E-2</v>
      </c>
      <c r="Y2759" s="204" t="s">
        <v>2276</v>
      </c>
      <c r="Z2759" s="204" t="s">
        <v>68</v>
      </c>
      <c r="AA2759" s="204" t="s">
        <v>86</v>
      </c>
      <c r="AB2759" s="204" t="s">
        <v>76</v>
      </c>
      <c r="AC2759" s="204"/>
      <c r="AD2759" s="204"/>
    </row>
    <row r="2760" spans="1:30" ht="32.5" customHeight="1">
      <c r="A2760" s="19" t="s">
        <v>7393</v>
      </c>
      <c r="B2760" s="19" t="s">
        <v>7536</v>
      </c>
      <c r="C2760" s="204" t="s">
        <v>24</v>
      </c>
      <c r="D2760" s="204" t="s">
        <v>1242</v>
      </c>
      <c r="E2760" s="204" t="s">
        <v>3209</v>
      </c>
      <c r="F2760" s="152" t="s">
        <v>2276</v>
      </c>
      <c r="G2760" s="152" t="s">
        <v>2276</v>
      </c>
      <c r="H2760" s="204" t="s">
        <v>523</v>
      </c>
      <c r="I2760" s="204">
        <v>2012</v>
      </c>
      <c r="J2760" s="204" t="s">
        <v>2276</v>
      </c>
      <c r="K2760" s="204" t="s">
        <v>2276</v>
      </c>
      <c r="L2760" s="204" t="s">
        <v>2276</v>
      </c>
      <c r="M2760" s="204" t="s">
        <v>2276</v>
      </c>
      <c r="N2760" s="204" t="s">
        <v>2276</v>
      </c>
      <c r="O2760" s="204" t="s">
        <v>2276</v>
      </c>
      <c r="P2760" s="204" t="s">
        <v>2276</v>
      </c>
      <c r="Q2760" s="204" t="s">
        <v>2276</v>
      </c>
      <c r="R2760" s="204" t="s">
        <v>2276</v>
      </c>
      <c r="S2760" s="204" t="s">
        <v>2276</v>
      </c>
      <c r="T2760" s="21">
        <f>450*0.075</f>
        <v>33.75</v>
      </c>
      <c r="U2760" s="204" t="s">
        <v>2276</v>
      </c>
      <c r="V2760" s="204" t="s">
        <v>2276</v>
      </c>
      <c r="W2760" s="204" t="s">
        <v>2276</v>
      </c>
      <c r="X2760" s="21">
        <f>T2760/'Record info'!K$1142</f>
        <v>7.7980591497227355E-3</v>
      </c>
      <c r="Y2760" s="204" t="s">
        <v>2276</v>
      </c>
      <c r="Z2760" s="204" t="s">
        <v>68</v>
      </c>
      <c r="AA2760" s="204" t="s">
        <v>86</v>
      </c>
      <c r="AB2760" s="204" t="s">
        <v>76</v>
      </c>
      <c r="AC2760" s="204"/>
      <c r="AD2760" s="204"/>
    </row>
    <row r="2761" spans="1:30" ht="32.5" customHeight="1">
      <c r="A2761" s="19" t="s">
        <v>7394</v>
      </c>
      <c r="B2761" s="19" t="s">
        <v>7537</v>
      </c>
      <c r="C2761" s="204" t="s">
        <v>24</v>
      </c>
      <c r="D2761" s="204" t="s">
        <v>1242</v>
      </c>
      <c r="E2761" s="204" t="s">
        <v>3209</v>
      </c>
      <c r="F2761" s="152" t="s">
        <v>2276</v>
      </c>
      <c r="G2761" s="152" t="s">
        <v>2276</v>
      </c>
      <c r="H2761" s="204" t="s">
        <v>523</v>
      </c>
      <c r="I2761" s="204">
        <v>2012</v>
      </c>
      <c r="J2761" s="204" t="s">
        <v>2276</v>
      </c>
      <c r="K2761" s="204" t="s">
        <v>2276</v>
      </c>
      <c r="L2761" s="204" t="s">
        <v>2276</v>
      </c>
      <c r="M2761" s="204" t="s">
        <v>2276</v>
      </c>
      <c r="N2761" s="204" t="s">
        <v>2276</v>
      </c>
      <c r="O2761" s="204" t="s">
        <v>2276</v>
      </c>
      <c r="P2761" s="204" t="s">
        <v>2276</v>
      </c>
      <c r="Q2761" s="204" t="s">
        <v>2276</v>
      </c>
      <c r="R2761" s="204" t="s">
        <v>2276</v>
      </c>
      <c r="S2761" s="204" t="s">
        <v>2276</v>
      </c>
      <c r="T2761" s="21">
        <f>450*0.111</f>
        <v>49.95</v>
      </c>
      <c r="U2761" s="204" t="s">
        <v>2276</v>
      </c>
      <c r="V2761" s="204" t="s">
        <v>2276</v>
      </c>
      <c r="W2761" s="204" t="s">
        <v>2276</v>
      </c>
      <c r="X2761" s="21">
        <f>T2761/'Record info'!K$1143</f>
        <v>2.0855949895615868E-2</v>
      </c>
      <c r="Y2761" s="204" t="s">
        <v>2276</v>
      </c>
      <c r="Z2761" s="204" t="s">
        <v>68</v>
      </c>
      <c r="AA2761" s="204" t="s">
        <v>86</v>
      </c>
      <c r="AB2761" s="204" t="s">
        <v>76</v>
      </c>
      <c r="AC2761" s="204"/>
      <c r="AD2761" s="204"/>
    </row>
    <row r="2762" spans="1:30" ht="32.5" customHeight="1">
      <c r="A2762" s="19" t="s">
        <v>7395</v>
      </c>
      <c r="B2762" s="19" t="s">
        <v>7538</v>
      </c>
      <c r="C2762" s="204" t="s">
        <v>24</v>
      </c>
      <c r="D2762" s="204" t="s">
        <v>1242</v>
      </c>
      <c r="E2762" s="204" t="s">
        <v>3209</v>
      </c>
      <c r="F2762" s="152" t="s">
        <v>2276</v>
      </c>
      <c r="G2762" s="152" t="s">
        <v>2276</v>
      </c>
      <c r="H2762" s="204" t="s">
        <v>523</v>
      </c>
      <c r="I2762" s="204">
        <v>2012</v>
      </c>
      <c r="J2762" s="204" t="s">
        <v>2276</v>
      </c>
      <c r="K2762" s="204" t="s">
        <v>2276</v>
      </c>
      <c r="L2762" s="204" t="s">
        <v>2276</v>
      </c>
      <c r="M2762" s="204" t="s">
        <v>2276</v>
      </c>
      <c r="N2762" s="204" t="s">
        <v>2276</v>
      </c>
      <c r="O2762" s="204" t="s">
        <v>2276</v>
      </c>
      <c r="P2762" s="204" t="s">
        <v>2276</v>
      </c>
      <c r="Q2762" s="204" t="s">
        <v>2276</v>
      </c>
      <c r="R2762" s="204" t="s">
        <v>2276</v>
      </c>
      <c r="S2762" s="204" t="s">
        <v>2276</v>
      </c>
      <c r="T2762" s="21">
        <f>450*0.106</f>
        <v>47.699999999999996</v>
      </c>
      <c r="U2762" s="204" t="s">
        <v>2276</v>
      </c>
      <c r="V2762" s="204" t="s">
        <v>2276</v>
      </c>
      <c r="W2762" s="204" t="s">
        <v>2276</v>
      </c>
      <c r="X2762" s="21">
        <f>T2762/'Record info'!K$1144</f>
        <v>1.7845117845117844E-2</v>
      </c>
      <c r="Y2762" s="204" t="s">
        <v>2276</v>
      </c>
      <c r="Z2762" s="204" t="s">
        <v>68</v>
      </c>
      <c r="AA2762" s="204" t="s">
        <v>86</v>
      </c>
      <c r="AB2762" s="204" t="s">
        <v>76</v>
      </c>
      <c r="AC2762" s="204"/>
      <c r="AD2762" s="204"/>
    </row>
    <row r="2763" spans="1:30" ht="32.5" customHeight="1">
      <c r="A2763" s="19" t="s">
        <v>7396</v>
      </c>
      <c r="B2763" s="19" t="s">
        <v>7539</v>
      </c>
      <c r="C2763" s="204" t="s">
        <v>24</v>
      </c>
      <c r="D2763" s="204" t="s">
        <v>1242</v>
      </c>
      <c r="E2763" s="204" t="s">
        <v>3209</v>
      </c>
      <c r="F2763" s="152" t="s">
        <v>2276</v>
      </c>
      <c r="G2763" s="152" t="s">
        <v>2276</v>
      </c>
      <c r="H2763" s="204" t="s">
        <v>523</v>
      </c>
      <c r="I2763" s="204">
        <v>2012</v>
      </c>
      <c r="J2763" s="204" t="s">
        <v>2276</v>
      </c>
      <c r="K2763" s="204" t="s">
        <v>2276</v>
      </c>
      <c r="L2763" s="204" t="s">
        <v>2276</v>
      </c>
      <c r="M2763" s="204" t="s">
        <v>2276</v>
      </c>
      <c r="N2763" s="204" t="s">
        <v>2276</v>
      </c>
      <c r="O2763" s="204" t="s">
        <v>2276</v>
      </c>
      <c r="P2763" s="204" t="s">
        <v>2276</v>
      </c>
      <c r="Q2763" s="204" t="s">
        <v>2276</v>
      </c>
      <c r="R2763" s="204" t="s">
        <v>2276</v>
      </c>
      <c r="S2763" s="204" t="s">
        <v>2276</v>
      </c>
      <c r="T2763" s="21">
        <f>450*0.166</f>
        <v>74.7</v>
      </c>
      <c r="U2763" s="204" t="s">
        <v>2276</v>
      </c>
      <c r="V2763" s="204" t="s">
        <v>2276</v>
      </c>
      <c r="W2763" s="204" t="s">
        <v>2276</v>
      </c>
      <c r="X2763" s="21">
        <f>T2763/'Record info'!K$1145</f>
        <v>3.3126385809312639E-2</v>
      </c>
      <c r="Y2763" s="204" t="s">
        <v>2276</v>
      </c>
      <c r="Z2763" s="204" t="s">
        <v>68</v>
      </c>
      <c r="AA2763" s="204" t="s">
        <v>86</v>
      </c>
      <c r="AB2763" s="204" t="s">
        <v>76</v>
      </c>
      <c r="AC2763" s="204"/>
      <c r="AD2763" s="204"/>
    </row>
    <row r="2764" spans="1:30" ht="36" customHeight="1">
      <c r="A2764" s="19" t="s">
        <v>7294</v>
      </c>
      <c r="B2764" s="19" t="s">
        <v>7540</v>
      </c>
      <c r="C2764" s="204" t="s">
        <v>24</v>
      </c>
      <c r="D2764" s="204" t="s">
        <v>1242</v>
      </c>
      <c r="E2764" s="204" t="s">
        <v>3209</v>
      </c>
      <c r="F2764" s="152" t="s">
        <v>2276</v>
      </c>
      <c r="G2764" s="152" t="s">
        <v>2276</v>
      </c>
      <c r="H2764" s="204" t="s">
        <v>523</v>
      </c>
      <c r="I2764" s="204">
        <v>2013</v>
      </c>
      <c r="J2764" s="204" t="s">
        <v>2276</v>
      </c>
      <c r="K2764" s="204" t="s">
        <v>2276</v>
      </c>
      <c r="L2764" s="204" t="s">
        <v>2276</v>
      </c>
      <c r="M2764" s="204" t="s">
        <v>2276</v>
      </c>
      <c r="N2764" s="204" t="s">
        <v>2276</v>
      </c>
      <c r="O2764" s="204" t="s">
        <v>2276</v>
      </c>
      <c r="P2764" s="204" t="s">
        <v>2276</v>
      </c>
      <c r="Q2764" s="204" t="s">
        <v>2276</v>
      </c>
      <c r="R2764" s="204" t="s">
        <v>2276</v>
      </c>
      <c r="S2764" s="204" t="s">
        <v>2276</v>
      </c>
      <c r="T2764" s="21">
        <f>1200*0.027</f>
        <v>32.4</v>
      </c>
      <c r="U2764" s="204" t="s">
        <v>2276</v>
      </c>
      <c r="V2764" s="204" t="s">
        <v>2276</v>
      </c>
      <c r="W2764" s="204" t="s">
        <v>2276</v>
      </c>
      <c r="X2764" s="21">
        <f>T2764/'Record info'!K$1128</f>
        <v>1.1571428571428571E-2</v>
      </c>
      <c r="Y2764" s="204" t="s">
        <v>2276</v>
      </c>
      <c r="Z2764" s="204" t="s">
        <v>68</v>
      </c>
      <c r="AA2764" s="204" t="s">
        <v>86</v>
      </c>
      <c r="AB2764" s="204" t="s">
        <v>76</v>
      </c>
      <c r="AC2764" s="204"/>
      <c r="AD2764" s="204"/>
    </row>
    <row r="2765" spans="1:30" ht="36" customHeight="1">
      <c r="A2765" s="19" t="s">
        <v>7380</v>
      </c>
      <c r="B2765" s="19" t="s">
        <v>7541</v>
      </c>
      <c r="C2765" s="204" t="s">
        <v>24</v>
      </c>
      <c r="D2765" s="204" t="s">
        <v>1242</v>
      </c>
      <c r="E2765" s="204" t="s">
        <v>3209</v>
      </c>
      <c r="F2765" s="152" t="s">
        <v>2276</v>
      </c>
      <c r="G2765" s="152" t="s">
        <v>2276</v>
      </c>
      <c r="H2765" s="204" t="s">
        <v>523</v>
      </c>
      <c r="I2765" s="204">
        <v>2013</v>
      </c>
      <c r="J2765" s="204" t="s">
        <v>2276</v>
      </c>
      <c r="K2765" s="204" t="s">
        <v>2276</v>
      </c>
      <c r="L2765" s="204" t="s">
        <v>2276</v>
      </c>
      <c r="M2765" s="204" t="s">
        <v>2276</v>
      </c>
      <c r="N2765" s="204" t="s">
        <v>2276</v>
      </c>
      <c r="O2765" s="204" t="s">
        <v>2276</v>
      </c>
      <c r="P2765" s="204" t="s">
        <v>2276</v>
      </c>
      <c r="Q2765" s="204" t="s">
        <v>2276</v>
      </c>
      <c r="R2765" s="204" t="s">
        <v>2276</v>
      </c>
      <c r="S2765" s="204" t="s">
        <v>2276</v>
      </c>
      <c r="T2765" s="21">
        <f>1200*0.041</f>
        <v>49.2</v>
      </c>
      <c r="U2765" s="204" t="s">
        <v>2276</v>
      </c>
      <c r="V2765" s="204" t="s">
        <v>2276</v>
      </c>
      <c r="W2765" s="204" t="s">
        <v>2276</v>
      </c>
      <c r="X2765" s="21">
        <f>T2765/'Record info'!K$1129</f>
        <v>1.399715504978663E-2</v>
      </c>
      <c r="Y2765" s="204" t="s">
        <v>2276</v>
      </c>
      <c r="Z2765" s="204" t="s">
        <v>68</v>
      </c>
      <c r="AA2765" s="204" t="s">
        <v>86</v>
      </c>
      <c r="AB2765" s="204" t="s">
        <v>76</v>
      </c>
      <c r="AC2765" s="204"/>
      <c r="AD2765" s="204"/>
    </row>
    <row r="2766" spans="1:30" ht="36" customHeight="1">
      <c r="A2766" s="19" t="s">
        <v>7381</v>
      </c>
      <c r="B2766" s="19" t="s">
        <v>7542</v>
      </c>
      <c r="C2766" s="204" t="s">
        <v>24</v>
      </c>
      <c r="D2766" s="204" t="s">
        <v>1242</v>
      </c>
      <c r="E2766" s="204" t="s">
        <v>3209</v>
      </c>
      <c r="F2766" s="152" t="s">
        <v>2276</v>
      </c>
      <c r="G2766" s="152" t="s">
        <v>2276</v>
      </c>
      <c r="H2766" s="204" t="s">
        <v>523</v>
      </c>
      <c r="I2766" s="204">
        <v>2013</v>
      </c>
      <c r="J2766" s="204" t="s">
        <v>2276</v>
      </c>
      <c r="K2766" s="204" t="s">
        <v>2276</v>
      </c>
      <c r="L2766" s="204" t="s">
        <v>2276</v>
      </c>
      <c r="M2766" s="204" t="s">
        <v>2276</v>
      </c>
      <c r="N2766" s="204" t="s">
        <v>2276</v>
      </c>
      <c r="O2766" s="204" t="s">
        <v>2276</v>
      </c>
      <c r="P2766" s="204" t="s">
        <v>2276</v>
      </c>
      <c r="Q2766" s="204" t="s">
        <v>2276</v>
      </c>
      <c r="R2766" s="204" t="s">
        <v>2276</v>
      </c>
      <c r="S2766" s="204" t="s">
        <v>2276</v>
      </c>
      <c r="T2766" s="21">
        <f>1200*0.004</f>
        <v>4.8</v>
      </c>
      <c r="U2766" s="204" t="s">
        <v>2276</v>
      </c>
      <c r="V2766" s="204" t="s">
        <v>2276</v>
      </c>
      <c r="W2766" s="204" t="s">
        <v>2276</v>
      </c>
      <c r="X2766" s="21">
        <f>T2766/'Record info'!K$1130</f>
        <v>7.1142730102267667E-4</v>
      </c>
      <c r="Y2766" s="204" t="s">
        <v>2276</v>
      </c>
      <c r="Z2766" s="204" t="s">
        <v>68</v>
      </c>
      <c r="AA2766" s="204" t="s">
        <v>86</v>
      </c>
      <c r="AB2766" s="204" t="s">
        <v>76</v>
      </c>
      <c r="AC2766" s="204"/>
      <c r="AD2766" s="204"/>
    </row>
    <row r="2767" spans="1:30" ht="36" customHeight="1">
      <c r="A2767" s="19" t="s">
        <v>7382</v>
      </c>
      <c r="B2767" s="19" t="s">
        <v>7543</v>
      </c>
      <c r="C2767" s="204" t="s">
        <v>24</v>
      </c>
      <c r="D2767" s="204" t="s">
        <v>1242</v>
      </c>
      <c r="E2767" s="204" t="s">
        <v>3209</v>
      </c>
      <c r="F2767" s="152" t="s">
        <v>2276</v>
      </c>
      <c r="G2767" s="152" t="s">
        <v>2276</v>
      </c>
      <c r="H2767" s="204" t="s">
        <v>523</v>
      </c>
      <c r="I2767" s="204">
        <v>2013</v>
      </c>
      <c r="J2767" s="204" t="s">
        <v>2276</v>
      </c>
      <c r="K2767" s="204" t="s">
        <v>2276</v>
      </c>
      <c r="L2767" s="204" t="s">
        <v>2276</v>
      </c>
      <c r="M2767" s="204" t="s">
        <v>2276</v>
      </c>
      <c r="N2767" s="204" t="s">
        <v>2276</v>
      </c>
      <c r="O2767" s="204" t="s">
        <v>2276</v>
      </c>
      <c r="P2767" s="204" t="s">
        <v>2276</v>
      </c>
      <c r="Q2767" s="204" t="s">
        <v>2276</v>
      </c>
      <c r="R2767" s="204" t="s">
        <v>2276</v>
      </c>
      <c r="S2767" s="204" t="s">
        <v>2276</v>
      </c>
      <c r="T2767" s="21">
        <f>1200*0.004</f>
        <v>4.8</v>
      </c>
      <c r="U2767" s="204" t="s">
        <v>2276</v>
      </c>
      <c r="V2767" s="204" t="s">
        <v>2276</v>
      </c>
      <c r="W2767" s="204" t="s">
        <v>2276</v>
      </c>
      <c r="X2767" s="21">
        <f>T2767/'Record info'!K$1131</f>
        <v>9.4786729857819897E-4</v>
      </c>
      <c r="Y2767" s="204" t="s">
        <v>2276</v>
      </c>
      <c r="Z2767" s="204" t="s">
        <v>68</v>
      </c>
      <c r="AA2767" s="204" t="s">
        <v>86</v>
      </c>
      <c r="AB2767" s="204" t="s">
        <v>76</v>
      </c>
      <c r="AC2767" s="204"/>
      <c r="AD2767" s="204"/>
    </row>
    <row r="2768" spans="1:30" ht="36" customHeight="1">
      <c r="A2768" s="19" t="s">
        <v>7383</v>
      </c>
      <c r="B2768" s="19" t="s">
        <v>7544</v>
      </c>
      <c r="C2768" s="204" t="s">
        <v>24</v>
      </c>
      <c r="D2768" s="204" t="s">
        <v>1242</v>
      </c>
      <c r="E2768" s="204" t="s">
        <v>3209</v>
      </c>
      <c r="F2768" s="152" t="s">
        <v>2276</v>
      </c>
      <c r="G2768" s="152" t="s">
        <v>2276</v>
      </c>
      <c r="H2768" s="204" t="s">
        <v>524</v>
      </c>
      <c r="I2768" s="204">
        <v>2013</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f>T2768/'Record info'!K$1132</f>
        <v>0</v>
      </c>
      <c r="Y2768" s="204" t="s">
        <v>2276</v>
      </c>
      <c r="Z2768" s="204" t="s">
        <v>68</v>
      </c>
      <c r="AA2768" s="204" t="s">
        <v>86</v>
      </c>
      <c r="AB2768" s="204" t="s">
        <v>76</v>
      </c>
      <c r="AC2768" s="204"/>
      <c r="AD2768" s="204"/>
    </row>
    <row r="2769" spans="1:30" ht="36" customHeight="1">
      <c r="A2769" s="19" t="s">
        <v>7384</v>
      </c>
      <c r="B2769" s="19" t="s">
        <v>7545</v>
      </c>
      <c r="C2769" s="204" t="s">
        <v>24</v>
      </c>
      <c r="D2769" s="204" t="s">
        <v>1242</v>
      </c>
      <c r="E2769" s="204" t="s">
        <v>3209</v>
      </c>
      <c r="F2769" s="152" t="s">
        <v>2276</v>
      </c>
      <c r="G2769" s="152" t="s">
        <v>2276</v>
      </c>
      <c r="H2769" s="204" t="s">
        <v>524</v>
      </c>
      <c r="I2769" s="204">
        <v>2013</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info'!K$1133</f>
        <v>0</v>
      </c>
      <c r="Y2769" s="204" t="s">
        <v>2276</v>
      </c>
      <c r="Z2769" s="204" t="s">
        <v>68</v>
      </c>
      <c r="AA2769" s="204" t="s">
        <v>86</v>
      </c>
      <c r="AB2769" s="204" t="s">
        <v>76</v>
      </c>
      <c r="AC2769" s="204"/>
      <c r="AD2769" s="204"/>
    </row>
    <row r="2770" spans="1:30" ht="36" customHeight="1">
      <c r="A2770" s="19" t="s">
        <v>7385</v>
      </c>
      <c r="B2770" s="19" t="s">
        <v>7546</v>
      </c>
      <c r="C2770" s="204" t="s">
        <v>24</v>
      </c>
      <c r="D2770" s="204" t="s">
        <v>1242</v>
      </c>
      <c r="E2770" s="204" t="s">
        <v>3209</v>
      </c>
      <c r="F2770" s="152" t="s">
        <v>2276</v>
      </c>
      <c r="G2770" s="152" t="s">
        <v>2276</v>
      </c>
      <c r="H2770" s="204" t="s">
        <v>524</v>
      </c>
      <c r="I2770" s="204">
        <v>2013</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info'!K$1134</f>
        <v>0</v>
      </c>
      <c r="Y2770" s="204" t="s">
        <v>2276</v>
      </c>
      <c r="Z2770" s="204" t="s">
        <v>68</v>
      </c>
      <c r="AA2770" s="204" t="s">
        <v>86</v>
      </c>
      <c r="AB2770" s="204" t="s">
        <v>76</v>
      </c>
      <c r="AC2770" s="204"/>
      <c r="AD2770" s="204"/>
    </row>
    <row r="2771" spans="1:30" ht="36" customHeight="1">
      <c r="A2771" s="19" t="s">
        <v>7386</v>
      </c>
      <c r="B2771" s="19" t="s">
        <v>7547</v>
      </c>
      <c r="C2771" s="204" t="s">
        <v>24</v>
      </c>
      <c r="D2771" s="204" t="s">
        <v>1242</v>
      </c>
      <c r="E2771" s="204" t="s">
        <v>3209</v>
      </c>
      <c r="F2771" s="152" t="s">
        <v>2276</v>
      </c>
      <c r="G2771" s="152" t="s">
        <v>2276</v>
      </c>
      <c r="H2771" s="204" t="s">
        <v>523</v>
      </c>
      <c r="I2771" s="204">
        <v>2013</v>
      </c>
      <c r="J2771" s="204" t="s">
        <v>2276</v>
      </c>
      <c r="K2771" s="204" t="s">
        <v>2276</v>
      </c>
      <c r="L2771" s="204" t="s">
        <v>2276</v>
      </c>
      <c r="M2771" s="204" t="s">
        <v>2276</v>
      </c>
      <c r="N2771" s="204" t="s">
        <v>2276</v>
      </c>
      <c r="O2771" s="204" t="s">
        <v>2276</v>
      </c>
      <c r="P2771" s="204" t="s">
        <v>2276</v>
      </c>
      <c r="Q2771" s="204" t="s">
        <v>2276</v>
      </c>
      <c r="R2771" s="204" t="s">
        <v>2276</v>
      </c>
      <c r="S2771" s="204" t="s">
        <v>2276</v>
      </c>
      <c r="T2771" s="21">
        <f>1200*0.035</f>
        <v>42.000000000000007</v>
      </c>
      <c r="U2771" s="204" t="s">
        <v>2276</v>
      </c>
      <c r="V2771" s="204" t="s">
        <v>2276</v>
      </c>
      <c r="W2771" s="204" t="s">
        <v>2276</v>
      </c>
      <c r="X2771" s="21">
        <f>T2771/'Record info'!K$1135</f>
        <v>6.9249793899422932E-3</v>
      </c>
      <c r="Y2771" s="204" t="s">
        <v>2276</v>
      </c>
      <c r="Z2771" s="204" t="s">
        <v>68</v>
      </c>
      <c r="AA2771" s="204" t="s">
        <v>86</v>
      </c>
      <c r="AB2771" s="204" t="s">
        <v>76</v>
      </c>
      <c r="AC2771" s="204"/>
      <c r="AD2771" s="204"/>
    </row>
    <row r="2772" spans="1:30" ht="36" customHeight="1">
      <c r="A2772" s="19" t="s">
        <v>7387</v>
      </c>
      <c r="B2772" s="19" t="s">
        <v>7548</v>
      </c>
      <c r="C2772" s="204" t="s">
        <v>24</v>
      </c>
      <c r="D2772" s="204" t="s">
        <v>1242</v>
      </c>
      <c r="E2772" s="204" t="s">
        <v>3209</v>
      </c>
      <c r="F2772" s="152" t="s">
        <v>2276</v>
      </c>
      <c r="G2772" s="152" t="s">
        <v>2276</v>
      </c>
      <c r="H2772" s="204" t="s">
        <v>523</v>
      </c>
      <c r="I2772" s="204">
        <v>2013</v>
      </c>
      <c r="J2772" s="204" t="s">
        <v>2276</v>
      </c>
      <c r="K2772" s="204" t="s">
        <v>2276</v>
      </c>
      <c r="L2772" s="204" t="s">
        <v>2276</v>
      </c>
      <c r="M2772" s="204" t="s">
        <v>2276</v>
      </c>
      <c r="N2772" s="204" t="s">
        <v>2276</v>
      </c>
      <c r="O2772" s="204" t="s">
        <v>2276</v>
      </c>
      <c r="P2772" s="204" t="s">
        <v>2276</v>
      </c>
      <c r="Q2772" s="204" t="s">
        <v>2276</v>
      </c>
      <c r="R2772" s="204" t="s">
        <v>2276</v>
      </c>
      <c r="S2772" s="204" t="s">
        <v>2276</v>
      </c>
      <c r="T2772" s="21">
        <f>1200*0.079</f>
        <v>94.8</v>
      </c>
      <c r="U2772" s="204" t="s">
        <v>2276</v>
      </c>
      <c r="V2772" s="204" t="s">
        <v>2276</v>
      </c>
      <c r="W2772" s="204" t="s">
        <v>2276</v>
      </c>
      <c r="X2772" s="21">
        <f>T2772/'Record info'!K$1136</f>
        <v>1.4202247191011236E-2</v>
      </c>
      <c r="Y2772" s="204" t="s">
        <v>2276</v>
      </c>
      <c r="Z2772" s="204" t="s">
        <v>68</v>
      </c>
      <c r="AA2772" s="204" t="s">
        <v>86</v>
      </c>
      <c r="AB2772" s="204" t="s">
        <v>76</v>
      </c>
      <c r="AC2772" s="204"/>
      <c r="AD2772" s="204"/>
    </row>
    <row r="2773" spans="1:30" ht="36" customHeight="1">
      <c r="A2773" s="19" t="s">
        <v>7388</v>
      </c>
      <c r="B2773" s="19" t="s">
        <v>7549</v>
      </c>
      <c r="C2773" s="204" t="s">
        <v>24</v>
      </c>
      <c r="D2773" s="204" t="s">
        <v>1242</v>
      </c>
      <c r="E2773" s="204" t="s">
        <v>3209</v>
      </c>
      <c r="F2773" s="152" t="s">
        <v>2276</v>
      </c>
      <c r="G2773" s="152" t="s">
        <v>2276</v>
      </c>
      <c r="H2773" s="204" t="s">
        <v>523</v>
      </c>
      <c r="I2773" s="204">
        <v>2013</v>
      </c>
      <c r="J2773" s="204" t="s">
        <v>2276</v>
      </c>
      <c r="K2773" s="204" t="s">
        <v>2276</v>
      </c>
      <c r="L2773" s="204" t="s">
        <v>2276</v>
      </c>
      <c r="M2773" s="204" t="s">
        <v>2276</v>
      </c>
      <c r="N2773" s="204" t="s">
        <v>2276</v>
      </c>
      <c r="O2773" s="204" t="s">
        <v>2276</v>
      </c>
      <c r="P2773" s="204" t="s">
        <v>2276</v>
      </c>
      <c r="Q2773" s="204" t="s">
        <v>2276</v>
      </c>
      <c r="R2773" s="204" t="s">
        <v>2276</v>
      </c>
      <c r="S2773" s="204" t="s">
        <v>2276</v>
      </c>
      <c r="T2773" s="21">
        <f>1200*0.132</f>
        <v>158.4</v>
      </c>
      <c r="U2773" s="204" t="s">
        <v>2276</v>
      </c>
      <c r="V2773" s="204" t="s">
        <v>2276</v>
      </c>
      <c r="W2773" s="204" t="s">
        <v>2276</v>
      </c>
      <c r="X2773" s="21">
        <f>T2773/'Record info'!K$1137</f>
        <v>2.8706052917723813E-2</v>
      </c>
      <c r="Y2773" s="204" t="s">
        <v>2276</v>
      </c>
      <c r="Z2773" s="204" t="s">
        <v>68</v>
      </c>
      <c r="AA2773" s="204" t="s">
        <v>86</v>
      </c>
      <c r="AB2773" s="204" t="s">
        <v>76</v>
      </c>
      <c r="AC2773" s="204"/>
      <c r="AD2773" s="204"/>
    </row>
    <row r="2774" spans="1:30" ht="36" customHeight="1">
      <c r="A2774" s="19" t="s">
        <v>7389</v>
      </c>
      <c r="B2774" s="19" t="s">
        <v>7550</v>
      </c>
      <c r="C2774" s="204" t="s">
        <v>24</v>
      </c>
      <c r="D2774" s="204" t="s">
        <v>1242</v>
      </c>
      <c r="E2774" s="204" t="s">
        <v>3209</v>
      </c>
      <c r="F2774" s="152" t="s">
        <v>2276</v>
      </c>
      <c r="G2774" s="152" t="s">
        <v>2276</v>
      </c>
      <c r="H2774" s="204" t="s">
        <v>523</v>
      </c>
      <c r="I2774" s="204">
        <v>2013</v>
      </c>
      <c r="J2774" s="204" t="s">
        <v>2276</v>
      </c>
      <c r="K2774" s="204" t="s">
        <v>2276</v>
      </c>
      <c r="L2774" s="204" t="s">
        <v>2276</v>
      </c>
      <c r="M2774" s="204" t="s">
        <v>2276</v>
      </c>
      <c r="N2774" s="204" t="s">
        <v>2276</v>
      </c>
      <c r="O2774" s="204" t="s">
        <v>2276</v>
      </c>
      <c r="P2774" s="204" t="s">
        <v>2276</v>
      </c>
      <c r="Q2774" s="204" t="s">
        <v>2276</v>
      </c>
      <c r="R2774" s="204" t="s">
        <v>2276</v>
      </c>
      <c r="S2774" s="204" t="s">
        <v>2276</v>
      </c>
      <c r="T2774" s="21">
        <f>1200*0.057</f>
        <v>68.400000000000006</v>
      </c>
      <c r="U2774" s="204" t="s">
        <v>2276</v>
      </c>
      <c r="V2774" s="204" t="s">
        <v>2276</v>
      </c>
      <c r="W2774" s="204" t="s">
        <v>2276</v>
      </c>
      <c r="X2774" s="21">
        <f>T2774/'Record info'!K$1138</f>
        <v>1.7329617430960224E-2</v>
      </c>
      <c r="Y2774" s="204" t="s">
        <v>2276</v>
      </c>
      <c r="Z2774" s="204" t="s">
        <v>68</v>
      </c>
      <c r="AA2774" s="204" t="s">
        <v>86</v>
      </c>
      <c r="AB2774" s="204" t="s">
        <v>76</v>
      </c>
      <c r="AC2774" s="204"/>
      <c r="AD2774" s="204"/>
    </row>
    <row r="2775" spans="1:30" ht="36" customHeight="1">
      <c r="A2775" s="19" t="s">
        <v>7390</v>
      </c>
      <c r="B2775" s="19" t="s">
        <v>7551</v>
      </c>
      <c r="C2775" s="204" t="s">
        <v>24</v>
      </c>
      <c r="D2775" s="204" t="s">
        <v>1242</v>
      </c>
      <c r="E2775" s="204" t="s">
        <v>3209</v>
      </c>
      <c r="F2775" s="152" t="s">
        <v>2276</v>
      </c>
      <c r="G2775" s="152" t="s">
        <v>2276</v>
      </c>
      <c r="H2775" s="204" t="s">
        <v>523</v>
      </c>
      <c r="I2775" s="204">
        <v>2013</v>
      </c>
      <c r="J2775" s="204" t="s">
        <v>2276</v>
      </c>
      <c r="K2775" s="204" t="s">
        <v>2276</v>
      </c>
      <c r="L2775" s="204" t="s">
        <v>2276</v>
      </c>
      <c r="M2775" s="204" t="s">
        <v>2276</v>
      </c>
      <c r="N2775" s="204" t="s">
        <v>2276</v>
      </c>
      <c r="O2775" s="204" t="s">
        <v>2276</v>
      </c>
      <c r="P2775" s="204" t="s">
        <v>2276</v>
      </c>
      <c r="Q2775" s="204" t="s">
        <v>2276</v>
      </c>
      <c r="R2775" s="204" t="s">
        <v>2276</v>
      </c>
      <c r="S2775" s="204" t="s">
        <v>2276</v>
      </c>
      <c r="T2775" s="21">
        <f>1200*0.024</f>
        <v>28.8</v>
      </c>
      <c r="U2775" s="204" t="s">
        <v>2276</v>
      </c>
      <c r="V2775" s="204" t="s">
        <v>2276</v>
      </c>
      <c r="W2775" s="204" t="s">
        <v>2276</v>
      </c>
      <c r="X2775" s="21">
        <f>T2775/'Record info'!K$1139</f>
        <v>1.0256410256410256E-2</v>
      </c>
      <c r="Y2775" s="204" t="s">
        <v>2276</v>
      </c>
      <c r="Z2775" s="204" t="s">
        <v>68</v>
      </c>
      <c r="AA2775" s="204" t="s">
        <v>86</v>
      </c>
      <c r="AB2775" s="204" t="s">
        <v>76</v>
      </c>
      <c r="AC2775" s="204"/>
      <c r="AD2775" s="204"/>
    </row>
    <row r="2776" spans="1:30" ht="36" customHeight="1">
      <c r="A2776" s="19" t="s">
        <v>7391</v>
      </c>
      <c r="B2776" s="19" t="s">
        <v>7552</v>
      </c>
      <c r="C2776" s="204" t="s">
        <v>24</v>
      </c>
      <c r="D2776" s="204" t="s">
        <v>1242</v>
      </c>
      <c r="E2776" s="204" t="s">
        <v>3209</v>
      </c>
      <c r="F2776" s="152" t="s">
        <v>2276</v>
      </c>
      <c r="G2776" s="152" t="s">
        <v>2276</v>
      </c>
      <c r="H2776" s="204" t="s">
        <v>523</v>
      </c>
      <c r="I2776" s="204">
        <v>2013</v>
      </c>
      <c r="J2776" s="204" t="s">
        <v>2276</v>
      </c>
      <c r="K2776" s="204" t="s">
        <v>2276</v>
      </c>
      <c r="L2776" s="204" t="s">
        <v>2276</v>
      </c>
      <c r="M2776" s="204" t="s">
        <v>2276</v>
      </c>
      <c r="N2776" s="204" t="s">
        <v>2276</v>
      </c>
      <c r="O2776" s="204" t="s">
        <v>2276</v>
      </c>
      <c r="P2776" s="204" t="s">
        <v>2276</v>
      </c>
      <c r="Q2776" s="204" t="s">
        <v>2276</v>
      </c>
      <c r="R2776" s="204" t="s">
        <v>2276</v>
      </c>
      <c r="S2776" s="204" t="s">
        <v>2276</v>
      </c>
      <c r="T2776" s="21">
        <f>1200*0.072</f>
        <v>86.399999999999991</v>
      </c>
      <c r="U2776" s="204" t="s">
        <v>2276</v>
      </c>
      <c r="V2776" s="204" t="s">
        <v>2276</v>
      </c>
      <c r="W2776" s="204" t="s">
        <v>2276</v>
      </c>
      <c r="X2776" s="21">
        <f>T2776/'Record info'!K$1140</f>
        <v>1.7255841821449968E-2</v>
      </c>
      <c r="Y2776" s="204" t="s">
        <v>2276</v>
      </c>
      <c r="Z2776" s="204" t="s">
        <v>68</v>
      </c>
      <c r="AA2776" s="204" t="s">
        <v>86</v>
      </c>
      <c r="AB2776" s="204" t="s">
        <v>76</v>
      </c>
      <c r="AC2776" s="204"/>
      <c r="AD2776" s="204"/>
    </row>
    <row r="2777" spans="1:30" ht="36" customHeight="1">
      <c r="A2777" s="19" t="s">
        <v>7392</v>
      </c>
      <c r="B2777" s="19" t="s">
        <v>7553</v>
      </c>
      <c r="C2777" s="204" t="s">
        <v>24</v>
      </c>
      <c r="D2777" s="204" t="s">
        <v>1242</v>
      </c>
      <c r="E2777" s="204" t="s">
        <v>3209</v>
      </c>
      <c r="F2777" s="152" t="s">
        <v>2276</v>
      </c>
      <c r="G2777" s="152" t="s">
        <v>2276</v>
      </c>
      <c r="H2777" s="204" t="s">
        <v>523</v>
      </c>
      <c r="I2777" s="204">
        <v>2013</v>
      </c>
      <c r="J2777" s="204" t="s">
        <v>2276</v>
      </c>
      <c r="K2777" s="204" t="s">
        <v>2276</v>
      </c>
      <c r="L2777" s="204" t="s">
        <v>2276</v>
      </c>
      <c r="M2777" s="204" t="s">
        <v>2276</v>
      </c>
      <c r="N2777" s="204" t="s">
        <v>2276</v>
      </c>
      <c r="O2777" s="204" t="s">
        <v>2276</v>
      </c>
      <c r="P2777" s="204" t="s">
        <v>2276</v>
      </c>
      <c r="Q2777" s="204" t="s">
        <v>2276</v>
      </c>
      <c r="R2777" s="204" t="s">
        <v>2276</v>
      </c>
      <c r="S2777" s="204" t="s">
        <v>2276</v>
      </c>
      <c r="T2777" s="21">
        <f>1200*0.068</f>
        <v>81.600000000000009</v>
      </c>
      <c r="U2777" s="204" t="s">
        <v>2276</v>
      </c>
      <c r="V2777" s="204" t="s">
        <v>2276</v>
      </c>
      <c r="W2777" s="204" t="s">
        <v>2276</v>
      </c>
      <c r="X2777" s="21">
        <f>T2777/'Record info'!K$1141</f>
        <v>6.950596252129472E-2</v>
      </c>
      <c r="Y2777" s="204" t="s">
        <v>2276</v>
      </c>
      <c r="Z2777" s="204" t="s">
        <v>68</v>
      </c>
      <c r="AA2777" s="204" t="s">
        <v>86</v>
      </c>
      <c r="AB2777" s="204" t="s">
        <v>76</v>
      </c>
      <c r="AC2777" s="204"/>
      <c r="AD2777" s="204"/>
    </row>
    <row r="2778" spans="1:30" ht="36" customHeight="1">
      <c r="A2778" s="19" t="s">
        <v>7393</v>
      </c>
      <c r="B2778" s="19" t="s">
        <v>7554</v>
      </c>
      <c r="C2778" s="204" t="s">
        <v>24</v>
      </c>
      <c r="D2778" s="204" t="s">
        <v>1242</v>
      </c>
      <c r="E2778" s="204" t="s">
        <v>3209</v>
      </c>
      <c r="F2778" s="152" t="s">
        <v>2276</v>
      </c>
      <c r="G2778" s="152" t="s">
        <v>2276</v>
      </c>
      <c r="H2778" s="204" t="s">
        <v>523</v>
      </c>
      <c r="I2778" s="204">
        <v>2013</v>
      </c>
      <c r="J2778" s="204" t="s">
        <v>2276</v>
      </c>
      <c r="K2778" s="204" t="s">
        <v>2276</v>
      </c>
      <c r="L2778" s="204" t="s">
        <v>2276</v>
      </c>
      <c r="M2778" s="204" t="s">
        <v>2276</v>
      </c>
      <c r="N2778" s="204" t="s">
        <v>2276</v>
      </c>
      <c r="O2778" s="204" t="s">
        <v>2276</v>
      </c>
      <c r="P2778" s="204" t="s">
        <v>2276</v>
      </c>
      <c r="Q2778" s="204" t="s">
        <v>2276</v>
      </c>
      <c r="R2778" s="204" t="s">
        <v>2276</v>
      </c>
      <c r="S2778" s="204" t="s">
        <v>2276</v>
      </c>
      <c r="T2778" s="21">
        <f>1200*0.075</f>
        <v>90</v>
      </c>
      <c r="U2778" s="204" t="s">
        <v>2276</v>
      </c>
      <c r="V2778" s="204" t="s">
        <v>2276</v>
      </c>
      <c r="W2778" s="204" t="s">
        <v>2276</v>
      </c>
      <c r="X2778" s="21">
        <f>T2778/'Record info'!K$1142</f>
        <v>2.0794824399260628E-2</v>
      </c>
      <c r="Y2778" s="204" t="s">
        <v>2276</v>
      </c>
      <c r="Z2778" s="204" t="s">
        <v>68</v>
      </c>
      <c r="AA2778" s="204" t="s">
        <v>86</v>
      </c>
      <c r="AB2778" s="204" t="s">
        <v>76</v>
      </c>
      <c r="AC2778" s="204"/>
      <c r="AD2778" s="204"/>
    </row>
    <row r="2779" spans="1:30" ht="36" customHeight="1">
      <c r="A2779" s="19" t="s">
        <v>7394</v>
      </c>
      <c r="B2779" s="19" t="s">
        <v>7555</v>
      </c>
      <c r="C2779" s="204" t="s">
        <v>24</v>
      </c>
      <c r="D2779" s="204" t="s">
        <v>1242</v>
      </c>
      <c r="E2779" s="204" t="s">
        <v>3209</v>
      </c>
      <c r="F2779" s="152" t="s">
        <v>2276</v>
      </c>
      <c r="G2779" s="152" t="s">
        <v>2276</v>
      </c>
      <c r="H2779" s="204" t="s">
        <v>523</v>
      </c>
      <c r="I2779" s="204">
        <v>2013</v>
      </c>
      <c r="J2779" s="204" t="s">
        <v>2276</v>
      </c>
      <c r="K2779" s="204" t="s">
        <v>2276</v>
      </c>
      <c r="L2779" s="204" t="s">
        <v>2276</v>
      </c>
      <c r="M2779" s="204" t="s">
        <v>2276</v>
      </c>
      <c r="N2779" s="204" t="s">
        <v>2276</v>
      </c>
      <c r="O2779" s="204" t="s">
        <v>2276</v>
      </c>
      <c r="P2779" s="204" t="s">
        <v>2276</v>
      </c>
      <c r="Q2779" s="204" t="s">
        <v>2276</v>
      </c>
      <c r="R2779" s="204" t="s">
        <v>2276</v>
      </c>
      <c r="S2779" s="204" t="s">
        <v>2276</v>
      </c>
      <c r="T2779" s="21">
        <f>1200*0.111</f>
        <v>133.19999999999999</v>
      </c>
      <c r="U2779" s="204" t="s">
        <v>2276</v>
      </c>
      <c r="V2779" s="204" t="s">
        <v>2276</v>
      </c>
      <c r="W2779" s="204" t="s">
        <v>2276</v>
      </c>
      <c r="X2779" s="21">
        <f>T2779/'Record info'!K$1143</f>
        <v>5.5615866388308975E-2</v>
      </c>
      <c r="Y2779" s="204" t="s">
        <v>2276</v>
      </c>
      <c r="Z2779" s="204" t="s">
        <v>68</v>
      </c>
      <c r="AA2779" s="204" t="s">
        <v>86</v>
      </c>
      <c r="AB2779" s="204" t="s">
        <v>76</v>
      </c>
      <c r="AC2779" s="204"/>
      <c r="AD2779" s="204"/>
    </row>
    <row r="2780" spans="1:30" ht="36" customHeight="1">
      <c r="A2780" s="19" t="s">
        <v>7395</v>
      </c>
      <c r="B2780" s="19" t="s">
        <v>7556</v>
      </c>
      <c r="C2780" s="204" t="s">
        <v>24</v>
      </c>
      <c r="D2780" s="204" t="s">
        <v>1242</v>
      </c>
      <c r="E2780" s="204" t="s">
        <v>3209</v>
      </c>
      <c r="F2780" s="152" t="s">
        <v>2276</v>
      </c>
      <c r="G2780" s="152" t="s">
        <v>2276</v>
      </c>
      <c r="H2780" s="204" t="s">
        <v>523</v>
      </c>
      <c r="I2780" s="204">
        <v>2013</v>
      </c>
      <c r="J2780" s="204" t="s">
        <v>2276</v>
      </c>
      <c r="K2780" s="204" t="s">
        <v>2276</v>
      </c>
      <c r="L2780" s="204" t="s">
        <v>2276</v>
      </c>
      <c r="M2780" s="204" t="s">
        <v>2276</v>
      </c>
      <c r="N2780" s="204" t="s">
        <v>2276</v>
      </c>
      <c r="O2780" s="204" t="s">
        <v>2276</v>
      </c>
      <c r="P2780" s="204" t="s">
        <v>2276</v>
      </c>
      <c r="Q2780" s="204" t="s">
        <v>2276</v>
      </c>
      <c r="R2780" s="204" t="s">
        <v>2276</v>
      </c>
      <c r="S2780" s="204" t="s">
        <v>2276</v>
      </c>
      <c r="T2780" s="21">
        <f>1200*0.106</f>
        <v>127.2</v>
      </c>
      <c r="U2780" s="204" t="s">
        <v>2276</v>
      </c>
      <c r="V2780" s="204" t="s">
        <v>2276</v>
      </c>
      <c r="W2780" s="204" t="s">
        <v>2276</v>
      </c>
      <c r="X2780" s="21">
        <f>T2780/'Record info'!K$1144</f>
        <v>4.7586980920314256E-2</v>
      </c>
      <c r="Y2780" s="204" t="s">
        <v>2276</v>
      </c>
      <c r="Z2780" s="204" t="s">
        <v>68</v>
      </c>
      <c r="AA2780" s="204" t="s">
        <v>86</v>
      </c>
      <c r="AB2780" s="204" t="s">
        <v>76</v>
      </c>
      <c r="AC2780" s="204"/>
      <c r="AD2780" s="204"/>
    </row>
    <row r="2781" spans="1:30" ht="36" customHeight="1">
      <c r="A2781" s="19" t="s">
        <v>7396</v>
      </c>
      <c r="B2781" s="19" t="s">
        <v>7557</v>
      </c>
      <c r="C2781" s="204" t="s">
        <v>24</v>
      </c>
      <c r="D2781" s="204" t="s">
        <v>1242</v>
      </c>
      <c r="E2781" s="204" t="s">
        <v>3209</v>
      </c>
      <c r="F2781" s="152" t="s">
        <v>2276</v>
      </c>
      <c r="G2781" s="152" t="s">
        <v>2276</v>
      </c>
      <c r="H2781" s="204" t="s">
        <v>523</v>
      </c>
      <c r="I2781" s="204">
        <v>2013</v>
      </c>
      <c r="J2781" s="204" t="s">
        <v>2276</v>
      </c>
      <c r="K2781" s="204" t="s">
        <v>2276</v>
      </c>
      <c r="L2781" s="204" t="s">
        <v>2276</v>
      </c>
      <c r="M2781" s="204" t="s">
        <v>2276</v>
      </c>
      <c r="N2781" s="204" t="s">
        <v>2276</v>
      </c>
      <c r="O2781" s="204" t="s">
        <v>2276</v>
      </c>
      <c r="P2781" s="204" t="s">
        <v>2276</v>
      </c>
      <c r="Q2781" s="204" t="s">
        <v>2276</v>
      </c>
      <c r="R2781" s="204" t="s">
        <v>2276</v>
      </c>
      <c r="S2781" s="204" t="s">
        <v>2276</v>
      </c>
      <c r="T2781" s="21">
        <f>1200*0.166</f>
        <v>199.20000000000002</v>
      </c>
      <c r="U2781" s="204" t="s">
        <v>2276</v>
      </c>
      <c r="V2781" s="204" t="s">
        <v>2276</v>
      </c>
      <c r="W2781" s="204" t="s">
        <v>2276</v>
      </c>
      <c r="X2781" s="21">
        <f>T2781/'Record info'!K$1145</f>
        <v>8.8337028824833713E-2</v>
      </c>
      <c r="Y2781" s="204" t="s">
        <v>2276</v>
      </c>
      <c r="Z2781" s="204" t="s">
        <v>68</v>
      </c>
      <c r="AA2781" s="204" t="s">
        <v>86</v>
      </c>
      <c r="AB2781" s="204" t="s">
        <v>76</v>
      </c>
      <c r="AC2781" s="204"/>
      <c r="AD2781" s="204"/>
    </row>
    <row r="2782" spans="1:30" ht="43.5" customHeight="1">
      <c r="A2782" s="19" t="s">
        <v>7294</v>
      </c>
      <c r="B2782" s="19" t="s">
        <v>7558</v>
      </c>
      <c r="C2782" s="204" t="s">
        <v>24</v>
      </c>
      <c r="D2782" s="204" t="s">
        <v>1242</v>
      </c>
      <c r="E2782" s="204" t="s">
        <v>3209</v>
      </c>
      <c r="F2782" s="152" t="s">
        <v>2276</v>
      </c>
      <c r="G2782" s="152" t="s">
        <v>2276</v>
      </c>
      <c r="H2782" s="204" t="s">
        <v>523</v>
      </c>
      <c r="I2782" s="204">
        <v>2014</v>
      </c>
      <c r="J2782" s="204" t="s">
        <v>2276</v>
      </c>
      <c r="K2782" s="204" t="s">
        <v>2276</v>
      </c>
      <c r="L2782" s="204" t="s">
        <v>2276</v>
      </c>
      <c r="M2782" s="204" t="s">
        <v>2276</v>
      </c>
      <c r="N2782" s="204" t="s">
        <v>2276</v>
      </c>
      <c r="O2782" s="204" t="s">
        <v>2276</v>
      </c>
      <c r="P2782" s="204" t="s">
        <v>2276</v>
      </c>
      <c r="Q2782" s="204" t="s">
        <v>2276</v>
      </c>
      <c r="R2782" s="204" t="s">
        <v>2276</v>
      </c>
      <c r="S2782" s="204" t="s">
        <v>2276</v>
      </c>
      <c r="T2782" s="21">
        <f>800*0.027</f>
        <v>21.6</v>
      </c>
      <c r="U2782" s="204" t="s">
        <v>2276</v>
      </c>
      <c r="V2782" s="204" t="s">
        <v>2276</v>
      </c>
      <c r="W2782" s="204" t="s">
        <v>2276</v>
      </c>
      <c r="X2782" s="21">
        <f>T2782/'Record info'!K$1128</f>
        <v>7.7142857142857152E-3</v>
      </c>
      <c r="Y2782" s="204" t="s">
        <v>2276</v>
      </c>
      <c r="Z2782" s="204" t="s">
        <v>68</v>
      </c>
      <c r="AA2782" s="204" t="s">
        <v>86</v>
      </c>
      <c r="AB2782" s="204" t="s">
        <v>76</v>
      </c>
      <c r="AC2782" s="204"/>
      <c r="AD2782" s="204"/>
    </row>
    <row r="2783" spans="1:30" ht="43.5" customHeight="1">
      <c r="A2783" s="19" t="s">
        <v>7380</v>
      </c>
      <c r="B2783" s="19" t="s">
        <v>7559</v>
      </c>
      <c r="C2783" s="204" t="s">
        <v>24</v>
      </c>
      <c r="D2783" s="204" t="s">
        <v>1242</v>
      </c>
      <c r="E2783" s="204" t="s">
        <v>3209</v>
      </c>
      <c r="F2783" s="152" t="s">
        <v>2276</v>
      </c>
      <c r="G2783" s="152" t="s">
        <v>2276</v>
      </c>
      <c r="H2783" s="204" t="s">
        <v>523</v>
      </c>
      <c r="I2783" s="204">
        <v>2014</v>
      </c>
      <c r="J2783" s="204" t="s">
        <v>2276</v>
      </c>
      <c r="K2783" s="204" t="s">
        <v>2276</v>
      </c>
      <c r="L2783" s="204" t="s">
        <v>2276</v>
      </c>
      <c r="M2783" s="204" t="s">
        <v>2276</v>
      </c>
      <c r="N2783" s="204" t="s">
        <v>2276</v>
      </c>
      <c r="O2783" s="204" t="s">
        <v>2276</v>
      </c>
      <c r="P2783" s="204" t="s">
        <v>2276</v>
      </c>
      <c r="Q2783" s="204" t="s">
        <v>2276</v>
      </c>
      <c r="R2783" s="204" t="s">
        <v>2276</v>
      </c>
      <c r="S2783" s="204" t="s">
        <v>2276</v>
      </c>
      <c r="T2783" s="21">
        <f>800*0.041</f>
        <v>32.800000000000004</v>
      </c>
      <c r="U2783" s="204" t="s">
        <v>2276</v>
      </c>
      <c r="V2783" s="204" t="s">
        <v>2276</v>
      </c>
      <c r="W2783" s="204" t="s">
        <v>2276</v>
      </c>
      <c r="X2783" s="21">
        <f>T2783/'Record info'!K$1129</f>
        <v>9.3314366998577536E-3</v>
      </c>
      <c r="Y2783" s="204" t="s">
        <v>2276</v>
      </c>
      <c r="Z2783" s="204" t="s">
        <v>68</v>
      </c>
      <c r="AA2783" s="204" t="s">
        <v>86</v>
      </c>
      <c r="AB2783" s="204" t="s">
        <v>76</v>
      </c>
      <c r="AC2783" s="204"/>
      <c r="AD2783" s="204"/>
    </row>
    <row r="2784" spans="1:30" ht="43.5" customHeight="1">
      <c r="A2784" s="19" t="s">
        <v>7381</v>
      </c>
      <c r="B2784" s="19" t="s">
        <v>7560</v>
      </c>
      <c r="C2784" s="204" t="s">
        <v>24</v>
      </c>
      <c r="D2784" s="204" t="s">
        <v>1242</v>
      </c>
      <c r="E2784" s="204" t="s">
        <v>3209</v>
      </c>
      <c r="F2784" s="152" t="s">
        <v>2276</v>
      </c>
      <c r="G2784" s="152" t="s">
        <v>2276</v>
      </c>
      <c r="H2784" s="204" t="s">
        <v>523</v>
      </c>
      <c r="I2784" s="204">
        <v>2014</v>
      </c>
      <c r="J2784" s="204" t="s">
        <v>2276</v>
      </c>
      <c r="K2784" s="204" t="s">
        <v>2276</v>
      </c>
      <c r="L2784" s="204" t="s">
        <v>2276</v>
      </c>
      <c r="M2784" s="204" t="s">
        <v>2276</v>
      </c>
      <c r="N2784" s="204" t="s">
        <v>2276</v>
      </c>
      <c r="O2784" s="204" t="s">
        <v>2276</v>
      </c>
      <c r="P2784" s="204" t="s">
        <v>2276</v>
      </c>
      <c r="Q2784" s="204" t="s">
        <v>2276</v>
      </c>
      <c r="R2784" s="204" t="s">
        <v>2276</v>
      </c>
      <c r="S2784" s="204" t="s">
        <v>2276</v>
      </c>
      <c r="T2784" s="21">
        <f>800*0.004</f>
        <v>3.2</v>
      </c>
      <c r="U2784" s="204" t="s">
        <v>2276</v>
      </c>
      <c r="V2784" s="204" t="s">
        <v>2276</v>
      </c>
      <c r="W2784" s="204" t="s">
        <v>2276</v>
      </c>
      <c r="X2784" s="21">
        <f>T2784/'Record info'!K$1130</f>
        <v>4.742848673484512E-4</v>
      </c>
      <c r="Y2784" s="204" t="s">
        <v>2276</v>
      </c>
      <c r="Z2784" s="204" t="s">
        <v>68</v>
      </c>
      <c r="AA2784" s="204" t="s">
        <v>86</v>
      </c>
      <c r="AB2784" s="204" t="s">
        <v>76</v>
      </c>
      <c r="AC2784" s="204"/>
      <c r="AD2784" s="204"/>
    </row>
    <row r="2785" spans="1:30" ht="43.5" customHeight="1">
      <c r="A2785" s="19" t="s">
        <v>7382</v>
      </c>
      <c r="B2785" s="19" t="s">
        <v>7561</v>
      </c>
      <c r="C2785" s="204" t="s">
        <v>24</v>
      </c>
      <c r="D2785" s="204" t="s">
        <v>1242</v>
      </c>
      <c r="E2785" s="204" t="s">
        <v>3209</v>
      </c>
      <c r="F2785" s="152" t="s">
        <v>2276</v>
      </c>
      <c r="G2785" s="152" t="s">
        <v>2276</v>
      </c>
      <c r="H2785" s="204" t="s">
        <v>523</v>
      </c>
      <c r="I2785" s="204">
        <v>2014</v>
      </c>
      <c r="J2785" s="204" t="s">
        <v>2276</v>
      </c>
      <c r="K2785" s="204" t="s">
        <v>2276</v>
      </c>
      <c r="L2785" s="204" t="s">
        <v>2276</v>
      </c>
      <c r="M2785" s="204" t="s">
        <v>2276</v>
      </c>
      <c r="N2785" s="204" t="s">
        <v>2276</v>
      </c>
      <c r="O2785" s="204" t="s">
        <v>2276</v>
      </c>
      <c r="P2785" s="204" t="s">
        <v>2276</v>
      </c>
      <c r="Q2785" s="204" t="s">
        <v>2276</v>
      </c>
      <c r="R2785" s="204" t="s">
        <v>2276</v>
      </c>
      <c r="S2785" s="204" t="s">
        <v>2276</v>
      </c>
      <c r="T2785" s="21">
        <f>800*0.004</f>
        <v>3.2</v>
      </c>
      <c r="U2785" s="204" t="s">
        <v>2276</v>
      </c>
      <c r="V2785" s="204" t="s">
        <v>2276</v>
      </c>
      <c r="W2785" s="204" t="s">
        <v>2276</v>
      </c>
      <c r="X2785" s="21">
        <f>T2785/'Record info'!K$1131</f>
        <v>6.3191153238546609E-4</v>
      </c>
      <c r="Y2785" s="204" t="s">
        <v>2276</v>
      </c>
      <c r="Z2785" s="204" t="s">
        <v>68</v>
      </c>
      <c r="AA2785" s="204" t="s">
        <v>86</v>
      </c>
      <c r="AB2785" s="204" t="s">
        <v>76</v>
      </c>
      <c r="AC2785" s="204"/>
      <c r="AD2785" s="204"/>
    </row>
    <row r="2786" spans="1:30" ht="43.5" customHeight="1">
      <c r="A2786" s="19" t="s">
        <v>7383</v>
      </c>
      <c r="B2786" s="19" t="s">
        <v>7562</v>
      </c>
      <c r="C2786" s="204" t="s">
        <v>24</v>
      </c>
      <c r="D2786" s="204" t="s">
        <v>1242</v>
      </c>
      <c r="E2786" s="204" t="s">
        <v>3209</v>
      </c>
      <c r="F2786" s="152" t="s">
        <v>2276</v>
      </c>
      <c r="G2786" s="152" t="s">
        <v>2276</v>
      </c>
      <c r="H2786" s="204" t="s">
        <v>524</v>
      </c>
      <c r="I2786" s="204">
        <v>2014</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f>T2786/'Record info'!K$1132</f>
        <v>0</v>
      </c>
      <c r="Y2786" s="204" t="s">
        <v>2276</v>
      </c>
      <c r="Z2786" s="204" t="s">
        <v>68</v>
      </c>
      <c r="AA2786" s="204" t="s">
        <v>86</v>
      </c>
      <c r="AB2786" s="204" t="s">
        <v>76</v>
      </c>
      <c r="AC2786" s="204"/>
      <c r="AD2786" s="204"/>
    </row>
    <row r="2787" spans="1:30" ht="43.5" customHeight="1">
      <c r="A2787" s="19" t="s">
        <v>7384</v>
      </c>
      <c r="B2787" s="19" t="s">
        <v>7563</v>
      </c>
      <c r="C2787" s="204" t="s">
        <v>24</v>
      </c>
      <c r="D2787" s="204" t="s">
        <v>1242</v>
      </c>
      <c r="E2787" s="204" t="s">
        <v>3209</v>
      </c>
      <c r="F2787" s="152" t="s">
        <v>2276</v>
      </c>
      <c r="G2787" s="152" t="s">
        <v>2276</v>
      </c>
      <c r="H2787" s="204" t="s">
        <v>524</v>
      </c>
      <c r="I2787" s="204">
        <v>2014</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info'!K$1133</f>
        <v>0</v>
      </c>
      <c r="Y2787" s="204" t="s">
        <v>2276</v>
      </c>
      <c r="Z2787" s="204" t="s">
        <v>68</v>
      </c>
      <c r="AA2787" s="204" t="s">
        <v>86</v>
      </c>
      <c r="AB2787" s="204" t="s">
        <v>76</v>
      </c>
      <c r="AC2787" s="204"/>
      <c r="AD2787" s="204"/>
    </row>
    <row r="2788" spans="1:30" ht="43.5" customHeight="1">
      <c r="A2788" s="19" t="s">
        <v>7385</v>
      </c>
      <c r="B2788" s="19" t="s">
        <v>7564</v>
      </c>
      <c r="C2788" s="204" t="s">
        <v>24</v>
      </c>
      <c r="D2788" s="204" t="s">
        <v>1242</v>
      </c>
      <c r="E2788" s="204" t="s">
        <v>3209</v>
      </c>
      <c r="F2788" s="152" t="s">
        <v>2276</v>
      </c>
      <c r="G2788" s="152" t="s">
        <v>2276</v>
      </c>
      <c r="H2788" s="204" t="s">
        <v>524</v>
      </c>
      <c r="I2788" s="204">
        <v>2014</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info'!K$1134</f>
        <v>0</v>
      </c>
      <c r="Y2788" s="204" t="s">
        <v>2276</v>
      </c>
      <c r="Z2788" s="204" t="s">
        <v>68</v>
      </c>
      <c r="AA2788" s="204" t="s">
        <v>86</v>
      </c>
      <c r="AB2788" s="204" t="s">
        <v>76</v>
      </c>
      <c r="AC2788" s="204"/>
      <c r="AD2788" s="204"/>
    </row>
    <row r="2789" spans="1:30" ht="43.5" customHeight="1">
      <c r="A2789" s="19" t="s">
        <v>7386</v>
      </c>
      <c r="B2789" s="19" t="s">
        <v>7565</v>
      </c>
      <c r="C2789" s="204" t="s">
        <v>24</v>
      </c>
      <c r="D2789" s="204" t="s">
        <v>1242</v>
      </c>
      <c r="E2789" s="204" t="s">
        <v>3209</v>
      </c>
      <c r="F2789" s="152" t="s">
        <v>2276</v>
      </c>
      <c r="G2789" s="152" t="s">
        <v>2276</v>
      </c>
      <c r="H2789" s="204" t="s">
        <v>523</v>
      </c>
      <c r="I2789" s="204">
        <v>2014</v>
      </c>
      <c r="J2789" s="204" t="s">
        <v>2276</v>
      </c>
      <c r="K2789" s="204" t="s">
        <v>2276</v>
      </c>
      <c r="L2789" s="204" t="s">
        <v>2276</v>
      </c>
      <c r="M2789" s="204" t="s">
        <v>2276</v>
      </c>
      <c r="N2789" s="204" t="s">
        <v>2276</v>
      </c>
      <c r="O2789" s="204" t="s">
        <v>2276</v>
      </c>
      <c r="P2789" s="204" t="s">
        <v>2276</v>
      </c>
      <c r="Q2789" s="204" t="s">
        <v>2276</v>
      </c>
      <c r="R2789" s="204" t="s">
        <v>2276</v>
      </c>
      <c r="S2789" s="204" t="s">
        <v>2276</v>
      </c>
      <c r="T2789" s="21">
        <f>800*0.035</f>
        <v>28.000000000000004</v>
      </c>
      <c r="U2789" s="204" t="s">
        <v>2276</v>
      </c>
      <c r="V2789" s="204" t="s">
        <v>2276</v>
      </c>
      <c r="W2789" s="204" t="s">
        <v>2276</v>
      </c>
      <c r="X2789" s="21">
        <f>T2789/'Record info'!K$1135</f>
        <v>4.6166529266281949E-3</v>
      </c>
      <c r="Y2789" s="204" t="s">
        <v>2276</v>
      </c>
      <c r="Z2789" s="204" t="s">
        <v>68</v>
      </c>
      <c r="AA2789" s="204" t="s">
        <v>86</v>
      </c>
      <c r="AB2789" s="204" t="s">
        <v>76</v>
      </c>
      <c r="AC2789" s="204"/>
      <c r="AD2789" s="204"/>
    </row>
    <row r="2790" spans="1:30" ht="43.5" customHeight="1">
      <c r="A2790" s="19" t="s">
        <v>7387</v>
      </c>
      <c r="B2790" s="19" t="s">
        <v>7566</v>
      </c>
      <c r="C2790" s="204" t="s">
        <v>24</v>
      </c>
      <c r="D2790" s="204" t="s">
        <v>1242</v>
      </c>
      <c r="E2790" s="204" t="s">
        <v>3209</v>
      </c>
      <c r="F2790" s="152" t="s">
        <v>2276</v>
      </c>
      <c r="G2790" s="152" t="s">
        <v>2276</v>
      </c>
      <c r="H2790" s="204" t="s">
        <v>523</v>
      </c>
      <c r="I2790" s="204">
        <v>2014</v>
      </c>
      <c r="J2790" s="204" t="s">
        <v>2276</v>
      </c>
      <c r="K2790" s="204" t="s">
        <v>2276</v>
      </c>
      <c r="L2790" s="204" t="s">
        <v>2276</v>
      </c>
      <c r="M2790" s="204" t="s">
        <v>2276</v>
      </c>
      <c r="N2790" s="204" t="s">
        <v>2276</v>
      </c>
      <c r="O2790" s="204" t="s">
        <v>2276</v>
      </c>
      <c r="P2790" s="204" t="s">
        <v>2276</v>
      </c>
      <c r="Q2790" s="204" t="s">
        <v>2276</v>
      </c>
      <c r="R2790" s="204" t="s">
        <v>2276</v>
      </c>
      <c r="S2790" s="204" t="s">
        <v>2276</v>
      </c>
      <c r="T2790" s="21">
        <f>800*0.079</f>
        <v>63.2</v>
      </c>
      <c r="U2790" s="204" t="s">
        <v>2276</v>
      </c>
      <c r="V2790" s="204" t="s">
        <v>2276</v>
      </c>
      <c r="W2790" s="204" t="s">
        <v>2276</v>
      </c>
      <c r="X2790" s="21">
        <f>T2790/'Record info'!K$1136</f>
        <v>9.4681647940074911E-3</v>
      </c>
      <c r="Y2790" s="204" t="s">
        <v>2276</v>
      </c>
      <c r="Z2790" s="204" t="s">
        <v>68</v>
      </c>
      <c r="AA2790" s="204" t="s">
        <v>86</v>
      </c>
      <c r="AB2790" s="204" t="s">
        <v>76</v>
      </c>
      <c r="AC2790" s="204"/>
      <c r="AD2790" s="204"/>
    </row>
    <row r="2791" spans="1:30" ht="43.5" customHeight="1">
      <c r="A2791" s="19" t="s">
        <v>7388</v>
      </c>
      <c r="B2791" s="19" t="s">
        <v>7567</v>
      </c>
      <c r="C2791" s="204" t="s">
        <v>24</v>
      </c>
      <c r="D2791" s="204" t="s">
        <v>1242</v>
      </c>
      <c r="E2791" s="204" t="s">
        <v>3209</v>
      </c>
      <c r="F2791" s="152" t="s">
        <v>2276</v>
      </c>
      <c r="G2791" s="152" t="s">
        <v>2276</v>
      </c>
      <c r="H2791" s="204" t="s">
        <v>523</v>
      </c>
      <c r="I2791" s="204">
        <v>2014</v>
      </c>
      <c r="J2791" s="204" t="s">
        <v>2276</v>
      </c>
      <c r="K2791" s="204" t="s">
        <v>2276</v>
      </c>
      <c r="L2791" s="204" t="s">
        <v>2276</v>
      </c>
      <c r="M2791" s="204" t="s">
        <v>2276</v>
      </c>
      <c r="N2791" s="204" t="s">
        <v>2276</v>
      </c>
      <c r="O2791" s="204" t="s">
        <v>2276</v>
      </c>
      <c r="P2791" s="204" t="s">
        <v>2276</v>
      </c>
      <c r="Q2791" s="204" t="s">
        <v>2276</v>
      </c>
      <c r="R2791" s="204" t="s">
        <v>2276</v>
      </c>
      <c r="S2791" s="204" t="s">
        <v>2276</v>
      </c>
      <c r="T2791" s="21">
        <f>800*0.132</f>
        <v>105.60000000000001</v>
      </c>
      <c r="U2791" s="204" t="s">
        <v>2276</v>
      </c>
      <c r="V2791" s="204" t="s">
        <v>2276</v>
      </c>
      <c r="W2791" s="204" t="s">
        <v>2276</v>
      </c>
      <c r="X2791" s="21">
        <f>T2791/'Record info'!K$1137</f>
        <v>1.9137368611815878E-2</v>
      </c>
      <c r="Y2791" s="204" t="s">
        <v>2276</v>
      </c>
      <c r="Z2791" s="204" t="s">
        <v>68</v>
      </c>
      <c r="AA2791" s="204" t="s">
        <v>86</v>
      </c>
      <c r="AB2791" s="204" t="s">
        <v>76</v>
      </c>
      <c r="AC2791" s="204"/>
      <c r="AD2791" s="204"/>
    </row>
    <row r="2792" spans="1:30" ht="43.5" customHeight="1">
      <c r="A2792" s="19" t="s">
        <v>7389</v>
      </c>
      <c r="B2792" s="19" t="s">
        <v>7568</v>
      </c>
      <c r="C2792" s="204" t="s">
        <v>24</v>
      </c>
      <c r="D2792" s="204" t="s">
        <v>1242</v>
      </c>
      <c r="E2792" s="204" t="s">
        <v>3209</v>
      </c>
      <c r="F2792" s="152" t="s">
        <v>2276</v>
      </c>
      <c r="G2792" s="152" t="s">
        <v>2276</v>
      </c>
      <c r="H2792" s="204" t="s">
        <v>523</v>
      </c>
      <c r="I2792" s="204">
        <v>2014</v>
      </c>
      <c r="J2792" s="204" t="s">
        <v>2276</v>
      </c>
      <c r="K2792" s="204" t="s">
        <v>2276</v>
      </c>
      <c r="L2792" s="204" t="s">
        <v>2276</v>
      </c>
      <c r="M2792" s="204" t="s">
        <v>2276</v>
      </c>
      <c r="N2792" s="204" t="s">
        <v>2276</v>
      </c>
      <c r="O2792" s="204" t="s">
        <v>2276</v>
      </c>
      <c r="P2792" s="204" t="s">
        <v>2276</v>
      </c>
      <c r="Q2792" s="204" t="s">
        <v>2276</v>
      </c>
      <c r="R2792" s="204" t="s">
        <v>2276</v>
      </c>
      <c r="S2792" s="204" t="s">
        <v>2276</v>
      </c>
      <c r="T2792" s="21">
        <f>800*0.057</f>
        <v>45.6</v>
      </c>
      <c r="U2792" s="204" t="s">
        <v>2276</v>
      </c>
      <c r="V2792" s="204" t="s">
        <v>2276</v>
      </c>
      <c r="W2792" s="204" t="s">
        <v>2276</v>
      </c>
      <c r="X2792" s="21">
        <f>T2792/'Record info'!K$1138</f>
        <v>1.1553078287306815E-2</v>
      </c>
      <c r="Y2792" s="204" t="s">
        <v>2276</v>
      </c>
      <c r="Z2792" s="204" t="s">
        <v>68</v>
      </c>
      <c r="AA2792" s="204" t="s">
        <v>86</v>
      </c>
      <c r="AB2792" s="204" t="s">
        <v>76</v>
      </c>
      <c r="AC2792" s="204"/>
      <c r="AD2792" s="204"/>
    </row>
    <row r="2793" spans="1:30" ht="43.5" customHeight="1">
      <c r="A2793" s="19" t="s">
        <v>7390</v>
      </c>
      <c r="B2793" s="19" t="s">
        <v>7569</v>
      </c>
      <c r="C2793" s="204" t="s">
        <v>24</v>
      </c>
      <c r="D2793" s="204" t="s">
        <v>1242</v>
      </c>
      <c r="E2793" s="204" t="s">
        <v>3209</v>
      </c>
      <c r="F2793" s="152" t="s">
        <v>2276</v>
      </c>
      <c r="G2793" s="152" t="s">
        <v>2276</v>
      </c>
      <c r="H2793" s="204" t="s">
        <v>523</v>
      </c>
      <c r="I2793" s="204">
        <v>2014</v>
      </c>
      <c r="J2793" s="204" t="s">
        <v>2276</v>
      </c>
      <c r="K2793" s="204" t="s">
        <v>2276</v>
      </c>
      <c r="L2793" s="204" t="s">
        <v>2276</v>
      </c>
      <c r="M2793" s="204" t="s">
        <v>2276</v>
      </c>
      <c r="N2793" s="204" t="s">
        <v>2276</v>
      </c>
      <c r="O2793" s="204" t="s">
        <v>2276</v>
      </c>
      <c r="P2793" s="204" t="s">
        <v>2276</v>
      </c>
      <c r="Q2793" s="204" t="s">
        <v>2276</v>
      </c>
      <c r="R2793" s="204" t="s">
        <v>2276</v>
      </c>
      <c r="S2793" s="204" t="s">
        <v>2276</v>
      </c>
      <c r="T2793" s="21">
        <f>800*0.024</f>
        <v>19.2</v>
      </c>
      <c r="U2793" s="204" t="s">
        <v>2276</v>
      </c>
      <c r="V2793" s="204" t="s">
        <v>2276</v>
      </c>
      <c r="W2793" s="204" t="s">
        <v>2276</v>
      </c>
      <c r="X2793" s="21">
        <f>T2793/'Record info'!K$1139</f>
        <v>6.8376068376068376E-3</v>
      </c>
      <c r="Y2793" s="204" t="s">
        <v>2276</v>
      </c>
      <c r="Z2793" s="204" t="s">
        <v>68</v>
      </c>
      <c r="AA2793" s="204" t="s">
        <v>86</v>
      </c>
      <c r="AB2793" s="204" t="s">
        <v>76</v>
      </c>
      <c r="AC2793" s="204"/>
      <c r="AD2793" s="204"/>
    </row>
    <row r="2794" spans="1:30" ht="43.5" customHeight="1">
      <c r="A2794" s="19" t="s">
        <v>7391</v>
      </c>
      <c r="B2794" s="19" t="s">
        <v>7570</v>
      </c>
      <c r="C2794" s="204" t="s">
        <v>24</v>
      </c>
      <c r="D2794" s="204" t="s">
        <v>1242</v>
      </c>
      <c r="E2794" s="204" t="s">
        <v>3209</v>
      </c>
      <c r="F2794" s="152" t="s">
        <v>2276</v>
      </c>
      <c r="G2794" s="152" t="s">
        <v>2276</v>
      </c>
      <c r="H2794" s="204" t="s">
        <v>523</v>
      </c>
      <c r="I2794" s="204">
        <v>2014</v>
      </c>
      <c r="J2794" s="204" t="s">
        <v>2276</v>
      </c>
      <c r="K2794" s="204" t="s">
        <v>2276</v>
      </c>
      <c r="L2794" s="204" t="s">
        <v>2276</v>
      </c>
      <c r="M2794" s="204" t="s">
        <v>2276</v>
      </c>
      <c r="N2794" s="204" t="s">
        <v>2276</v>
      </c>
      <c r="O2794" s="204" t="s">
        <v>2276</v>
      </c>
      <c r="P2794" s="204" t="s">
        <v>2276</v>
      </c>
      <c r="Q2794" s="204" t="s">
        <v>2276</v>
      </c>
      <c r="R2794" s="204" t="s">
        <v>2276</v>
      </c>
      <c r="S2794" s="204" t="s">
        <v>2276</v>
      </c>
      <c r="T2794" s="21">
        <f>800*0.072</f>
        <v>57.599999999999994</v>
      </c>
      <c r="U2794" s="204" t="s">
        <v>2276</v>
      </c>
      <c r="V2794" s="204" t="s">
        <v>2276</v>
      </c>
      <c r="W2794" s="204" t="s">
        <v>2276</v>
      </c>
      <c r="X2794" s="21">
        <f>T2794/'Record info'!K$1140</f>
        <v>1.1503894547633313E-2</v>
      </c>
      <c r="Y2794" s="204" t="s">
        <v>2276</v>
      </c>
      <c r="Z2794" s="204" t="s">
        <v>68</v>
      </c>
      <c r="AA2794" s="204" t="s">
        <v>86</v>
      </c>
      <c r="AB2794" s="204" t="s">
        <v>76</v>
      </c>
      <c r="AC2794" s="204"/>
      <c r="AD2794" s="204"/>
    </row>
    <row r="2795" spans="1:30" ht="43.5" customHeight="1">
      <c r="A2795" s="19" t="s">
        <v>7392</v>
      </c>
      <c r="B2795" s="19" t="s">
        <v>7571</v>
      </c>
      <c r="C2795" s="204" t="s">
        <v>24</v>
      </c>
      <c r="D2795" s="204" t="s">
        <v>1242</v>
      </c>
      <c r="E2795" s="204" t="s">
        <v>3209</v>
      </c>
      <c r="F2795" s="152" t="s">
        <v>2276</v>
      </c>
      <c r="G2795" s="152" t="s">
        <v>2276</v>
      </c>
      <c r="H2795" s="204" t="s">
        <v>523</v>
      </c>
      <c r="I2795" s="204">
        <v>2014</v>
      </c>
      <c r="J2795" s="204" t="s">
        <v>2276</v>
      </c>
      <c r="K2795" s="204" t="s">
        <v>2276</v>
      </c>
      <c r="L2795" s="204" t="s">
        <v>2276</v>
      </c>
      <c r="M2795" s="204" t="s">
        <v>2276</v>
      </c>
      <c r="N2795" s="204" t="s">
        <v>2276</v>
      </c>
      <c r="O2795" s="204" t="s">
        <v>2276</v>
      </c>
      <c r="P2795" s="204" t="s">
        <v>2276</v>
      </c>
      <c r="Q2795" s="204" t="s">
        <v>2276</v>
      </c>
      <c r="R2795" s="204" t="s">
        <v>2276</v>
      </c>
      <c r="S2795" s="204" t="s">
        <v>2276</v>
      </c>
      <c r="T2795" s="21">
        <f>800*0.068</f>
        <v>54.400000000000006</v>
      </c>
      <c r="U2795" s="204" t="s">
        <v>2276</v>
      </c>
      <c r="V2795" s="204" t="s">
        <v>2276</v>
      </c>
      <c r="W2795" s="204" t="s">
        <v>2276</v>
      </c>
      <c r="X2795" s="21">
        <f>T2795/'Record info'!K$1141</f>
        <v>4.6337308347529818E-2</v>
      </c>
      <c r="Y2795" s="204" t="s">
        <v>2276</v>
      </c>
      <c r="Z2795" s="204" t="s">
        <v>68</v>
      </c>
      <c r="AA2795" s="204" t="s">
        <v>86</v>
      </c>
      <c r="AB2795" s="204" t="s">
        <v>76</v>
      </c>
      <c r="AC2795" s="204"/>
      <c r="AD2795" s="204"/>
    </row>
    <row r="2796" spans="1:30" ht="43.5" customHeight="1">
      <c r="A2796" s="19" t="s">
        <v>7393</v>
      </c>
      <c r="B2796" s="19" t="s">
        <v>7572</v>
      </c>
      <c r="C2796" s="204" t="s">
        <v>24</v>
      </c>
      <c r="D2796" s="204" t="s">
        <v>1242</v>
      </c>
      <c r="E2796" s="204" t="s">
        <v>3209</v>
      </c>
      <c r="F2796" s="152" t="s">
        <v>2276</v>
      </c>
      <c r="G2796" s="152" t="s">
        <v>2276</v>
      </c>
      <c r="H2796" s="204" t="s">
        <v>523</v>
      </c>
      <c r="I2796" s="204">
        <v>2014</v>
      </c>
      <c r="J2796" s="204" t="s">
        <v>2276</v>
      </c>
      <c r="K2796" s="204" t="s">
        <v>2276</v>
      </c>
      <c r="L2796" s="204" t="s">
        <v>2276</v>
      </c>
      <c r="M2796" s="204" t="s">
        <v>2276</v>
      </c>
      <c r="N2796" s="204" t="s">
        <v>2276</v>
      </c>
      <c r="O2796" s="204" t="s">
        <v>2276</v>
      </c>
      <c r="P2796" s="204" t="s">
        <v>2276</v>
      </c>
      <c r="Q2796" s="204" t="s">
        <v>2276</v>
      </c>
      <c r="R2796" s="204" t="s">
        <v>2276</v>
      </c>
      <c r="S2796" s="204" t="s">
        <v>2276</v>
      </c>
      <c r="T2796" s="21">
        <f>800*0.075</f>
        <v>60</v>
      </c>
      <c r="U2796" s="204" t="s">
        <v>2276</v>
      </c>
      <c r="V2796" s="204" t="s">
        <v>2276</v>
      </c>
      <c r="W2796" s="204" t="s">
        <v>2276</v>
      </c>
      <c r="X2796" s="21">
        <f>T2796/'Record info'!K$1142</f>
        <v>1.3863216266173753E-2</v>
      </c>
      <c r="Y2796" s="204" t="s">
        <v>2276</v>
      </c>
      <c r="Z2796" s="204" t="s">
        <v>68</v>
      </c>
      <c r="AA2796" s="204" t="s">
        <v>86</v>
      </c>
      <c r="AB2796" s="204" t="s">
        <v>76</v>
      </c>
      <c r="AC2796" s="204"/>
      <c r="AD2796" s="204"/>
    </row>
    <row r="2797" spans="1:30" ht="43.5" customHeight="1">
      <c r="A2797" s="19" t="s">
        <v>7394</v>
      </c>
      <c r="B2797" s="19" t="s">
        <v>7573</v>
      </c>
      <c r="C2797" s="204" t="s">
        <v>24</v>
      </c>
      <c r="D2797" s="204" t="s">
        <v>1242</v>
      </c>
      <c r="E2797" s="204" t="s">
        <v>3209</v>
      </c>
      <c r="F2797" s="152" t="s">
        <v>2276</v>
      </c>
      <c r="G2797" s="152" t="s">
        <v>2276</v>
      </c>
      <c r="H2797" s="204" t="s">
        <v>523</v>
      </c>
      <c r="I2797" s="204">
        <v>2014</v>
      </c>
      <c r="J2797" s="204" t="s">
        <v>2276</v>
      </c>
      <c r="K2797" s="204" t="s">
        <v>2276</v>
      </c>
      <c r="L2797" s="204" t="s">
        <v>2276</v>
      </c>
      <c r="M2797" s="204" t="s">
        <v>2276</v>
      </c>
      <c r="N2797" s="204" t="s">
        <v>2276</v>
      </c>
      <c r="O2797" s="204" t="s">
        <v>2276</v>
      </c>
      <c r="P2797" s="204" t="s">
        <v>2276</v>
      </c>
      <c r="Q2797" s="204" t="s">
        <v>2276</v>
      </c>
      <c r="R2797" s="204" t="s">
        <v>2276</v>
      </c>
      <c r="S2797" s="204" t="s">
        <v>2276</v>
      </c>
      <c r="T2797" s="21">
        <f>800*0.111</f>
        <v>88.8</v>
      </c>
      <c r="U2797" s="204" t="s">
        <v>2276</v>
      </c>
      <c r="V2797" s="204" t="s">
        <v>2276</v>
      </c>
      <c r="W2797" s="204" t="s">
        <v>2276</v>
      </c>
      <c r="X2797" s="21">
        <f>T2797/'Record info'!K$1143</f>
        <v>3.7077244258872648E-2</v>
      </c>
      <c r="Y2797" s="204" t="s">
        <v>2276</v>
      </c>
      <c r="Z2797" s="204" t="s">
        <v>68</v>
      </c>
      <c r="AA2797" s="204" t="s">
        <v>86</v>
      </c>
      <c r="AB2797" s="204" t="s">
        <v>76</v>
      </c>
      <c r="AC2797" s="204"/>
      <c r="AD2797" s="204"/>
    </row>
    <row r="2798" spans="1:30" ht="43.5" customHeight="1">
      <c r="A2798" s="19" t="s">
        <v>7395</v>
      </c>
      <c r="B2798" s="19" t="s">
        <v>7574</v>
      </c>
      <c r="C2798" s="204" t="s">
        <v>24</v>
      </c>
      <c r="D2798" s="204" t="s">
        <v>1242</v>
      </c>
      <c r="E2798" s="204" t="s">
        <v>3209</v>
      </c>
      <c r="F2798" s="152" t="s">
        <v>2276</v>
      </c>
      <c r="G2798" s="152" t="s">
        <v>2276</v>
      </c>
      <c r="H2798" s="204" t="s">
        <v>523</v>
      </c>
      <c r="I2798" s="204">
        <v>2014</v>
      </c>
      <c r="J2798" s="204" t="s">
        <v>2276</v>
      </c>
      <c r="K2798" s="204" t="s">
        <v>2276</v>
      </c>
      <c r="L2798" s="204" t="s">
        <v>2276</v>
      </c>
      <c r="M2798" s="204" t="s">
        <v>2276</v>
      </c>
      <c r="N2798" s="204" t="s">
        <v>2276</v>
      </c>
      <c r="O2798" s="204" t="s">
        <v>2276</v>
      </c>
      <c r="P2798" s="204" t="s">
        <v>2276</v>
      </c>
      <c r="Q2798" s="204" t="s">
        <v>2276</v>
      </c>
      <c r="R2798" s="204" t="s">
        <v>2276</v>
      </c>
      <c r="S2798" s="204" t="s">
        <v>2276</v>
      </c>
      <c r="T2798" s="21">
        <f>800*0.106</f>
        <v>84.8</v>
      </c>
      <c r="U2798" s="204" t="s">
        <v>2276</v>
      </c>
      <c r="V2798" s="204" t="s">
        <v>2276</v>
      </c>
      <c r="W2798" s="204" t="s">
        <v>2276</v>
      </c>
      <c r="X2798" s="21">
        <f>T2798/'Record info'!K$1144</f>
        <v>3.1724653946876166E-2</v>
      </c>
      <c r="Y2798" s="204" t="s">
        <v>2276</v>
      </c>
      <c r="Z2798" s="204" t="s">
        <v>68</v>
      </c>
      <c r="AA2798" s="204" t="s">
        <v>86</v>
      </c>
      <c r="AB2798" s="204" t="s">
        <v>76</v>
      </c>
      <c r="AC2798" s="204"/>
      <c r="AD2798" s="204"/>
    </row>
    <row r="2799" spans="1:30" ht="43.5" customHeight="1">
      <c r="A2799" s="19" t="s">
        <v>7396</v>
      </c>
      <c r="B2799" s="19" t="s">
        <v>7575</v>
      </c>
      <c r="C2799" s="204" t="s">
        <v>24</v>
      </c>
      <c r="D2799" s="204" t="s">
        <v>1242</v>
      </c>
      <c r="E2799" s="204" t="s">
        <v>3209</v>
      </c>
      <c r="F2799" s="152" t="s">
        <v>2276</v>
      </c>
      <c r="G2799" s="152" t="s">
        <v>2276</v>
      </c>
      <c r="H2799" s="204" t="s">
        <v>523</v>
      </c>
      <c r="I2799" s="204">
        <v>2014</v>
      </c>
      <c r="J2799" s="204" t="s">
        <v>2276</v>
      </c>
      <c r="K2799" s="204" t="s">
        <v>2276</v>
      </c>
      <c r="L2799" s="204" t="s">
        <v>2276</v>
      </c>
      <c r="M2799" s="204" t="s">
        <v>2276</v>
      </c>
      <c r="N2799" s="204" t="s">
        <v>2276</v>
      </c>
      <c r="O2799" s="204" t="s">
        <v>2276</v>
      </c>
      <c r="P2799" s="204" t="s">
        <v>2276</v>
      </c>
      <c r="Q2799" s="204" t="s">
        <v>2276</v>
      </c>
      <c r="R2799" s="204" t="s">
        <v>2276</v>
      </c>
      <c r="S2799" s="204" t="s">
        <v>2276</v>
      </c>
      <c r="T2799" s="21">
        <f>800*0.166</f>
        <v>132.80000000000001</v>
      </c>
      <c r="U2799" s="204" t="s">
        <v>2276</v>
      </c>
      <c r="V2799" s="204" t="s">
        <v>2276</v>
      </c>
      <c r="W2799" s="204" t="s">
        <v>2276</v>
      </c>
      <c r="X2799" s="21">
        <f>T2799/'Record info'!K$1145</f>
        <v>5.8891352549889142E-2</v>
      </c>
      <c r="Y2799" s="204" t="s">
        <v>2276</v>
      </c>
      <c r="Z2799" s="204" t="s">
        <v>68</v>
      </c>
      <c r="AA2799" s="204" t="s">
        <v>86</v>
      </c>
      <c r="AB2799" s="204" t="s">
        <v>76</v>
      </c>
      <c r="AC2799" s="204"/>
      <c r="AD2799" s="204"/>
    </row>
    <row r="2800" spans="1:30" ht="41" customHeight="1">
      <c r="A2800" s="19" t="s">
        <v>7294</v>
      </c>
      <c r="B2800" s="19" t="s">
        <v>7576</v>
      </c>
      <c r="C2800" s="204" t="s">
        <v>24</v>
      </c>
      <c r="D2800" s="204" t="s">
        <v>1242</v>
      </c>
      <c r="E2800" s="204" t="s">
        <v>3209</v>
      </c>
      <c r="F2800" s="152" t="s">
        <v>2276</v>
      </c>
      <c r="G2800" s="152" t="s">
        <v>2276</v>
      </c>
      <c r="H2800" s="204" t="s">
        <v>523</v>
      </c>
      <c r="I2800" s="204">
        <v>2015</v>
      </c>
      <c r="J2800" s="204" t="s">
        <v>2276</v>
      </c>
      <c r="K2800" s="204" t="s">
        <v>2276</v>
      </c>
      <c r="L2800" s="204" t="s">
        <v>2276</v>
      </c>
      <c r="M2800" s="204" t="s">
        <v>2276</v>
      </c>
      <c r="N2800" s="204" t="s">
        <v>2276</v>
      </c>
      <c r="O2800" s="204" t="s">
        <v>2276</v>
      </c>
      <c r="P2800" s="204" t="s">
        <v>2276</v>
      </c>
      <c r="Q2800" s="204" t="s">
        <v>2276</v>
      </c>
      <c r="R2800" s="204" t="s">
        <v>2276</v>
      </c>
      <c r="S2800" s="204" t="s">
        <v>2276</v>
      </c>
      <c r="T2800" s="21">
        <f>750*0.027</f>
        <v>20.25</v>
      </c>
      <c r="U2800" s="204" t="s">
        <v>2276</v>
      </c>
      <c r="V2800" s="204" t="s">
        <v>2276</v>
      </c>
      <c r="W2800" s="204" t="s">
        <v>2276</v>
      </c>
      <c r="X2800" s="21">
        <f>T2800/'Record info'!K$1128</f>
        <v>7.2321428571428571E-3</v>
      </c>
      <c r="Y2800" s="204" t="s">
        <v>2276</v>
      </c>
      <c r="Z2800" s="204" t="s">
        <v>68</v>
      </c>
      <c r="AA2800" s="204" t="s">
        <v>86</v>
      </c>
      <c r="AB2800" s="204" t="s">
        <v>76</v>
      </c>
      <c r="AC2800" s="204"/>
      <c r="AD2800" s="204"/>
    </row>
    <row r="2801" spans="1:30" ht="41" customHeight="1">
      <c r="A2801" s="19" t="s">
        <v>7380</v>
      </c>
      <c r="B2801" s="19" t="s">
        <v>7577</v>
      </c>
      <c r="C2801" s="204" t="s">
        <v>24</v>
      </c>
      <c r="D2801" s="204" t="s">
        <v>1242</v>
      </c>
      <c r="E2801" s="204" t="s">
        <v>3209</v>
      </c>
      <c r="F2801" s="152" t="s">
        <v>2276</v>
      </c>
      <c r="G2801" s="152" t="s">
        <v>2276</v>
      </c>
      <c r="H2801" s="204" t="s">
        <v>523</v>
      </c>
      <c r="I2801" s="204">
        <v>2015</v>
      </c>
      <c r="J2801" s="204" t="s">
        <v>2276</v>
      </c>
      <c r="K2801" s="204" t="s">
        <v>2276</v>
      </c>
      <c r="L2801" s="204" t="s">
        <v>2276</v>
      </c>
      <c r="M2801" s="204" t="s">
        <v>2276</v>
      </c>
      <c r="N2801" s="204" t="s">
        <v>2276</v>
      </c>
      <c r="O2801" s="204" t="s">
        <v>2276</v>
      </c>
      <c r="P2801" s="204" t="s">
        <v>2276</v>
      </c>
      <c r="Q2801" s="204" t="s">
        <v>2276</v>
      </c>
      <c r="R2801" s="204" t="s">
        <v>2276</v>
      </c>
      <c r="S2801" s="204" t="s">
        <v>2276</v>
      </c>
      <c r="T2801" s="21">
        <f>750*0.041</f>
        <v>30.75</v>
      </c>
      <c r="U2801" s="204" t="s">
        <v>2276</v>
      </c>
      <c r="V2801" s="204" t="s">
        <v>2276</v>
      </c>
      <c r="W2801" s="204" t="s">
        <v>2276</v>
      </c>
      <c r="X2801" s="21">
        <f>T2801/'Record info'!K$1129</f>
        <v>8.7482219061166423E-3</v>
      </c>
      <c r="Y2801" s="204" t="s">
        <v>2276</v>
      </c>
      <c r="Z2801" s="204" t="s">
        <v>68</v>
      </c>
      <c r="AA2801" s="204" t="s">
        <v>86</v>
      </c>
      <c r="AB2801" s="204" t="s">
        <v>76</v>
      </c>
      <c r="AC2801" s="204"/>
      <c r="AD2801" s="204"/>
    </row>
    <row r="2802" spans="1:30" ht="41" customHeight="1">
      <c r="A2802" s="19" t="s">
        <v>7381</v>
      </c>
      <c r="B2802" s="19" t="s">
        <v>7578</v>
      </c>
      <c r="C2802" s="204" t="s">
        <v>24</v>
      </c>
      <c r="D2802" s="204" t="s">
        <v>1242</v>
      </c>
      <c r="E2802" s="204" t="s">
        <v>3209</v>
      </c>
      <c r="F2802" s="152" t="s">
        <v>2276</v>
      </c>
      <c r="G2802" s="152" t="s">
        <v>2276</v>
      </c>
      <c r="H2802" s="204" t="s">
        <v>523</v>
      </c>
      <c r="I2802" s="204">
        <v>2015</v>
      </c>
      <c r="J2802" s="204" t="s">
        <v>2276</v>
      </c>
      <c r="K2802" s="204" t="s">
        <v>2276</v>
      </c>
      <c r="L2802" s="204" t="s">
        <v>2276</v>
      </c>
      <c r="M2802" s="204" t="s">
        <v>2276</v>
      </c>
      <c r="N2802" s="204" t="s">
        <v>2276</v>
      </c>
      <c r="O2802" s="204" t="s">
        <v>2276</v>
      </c>
      <c r="P2802" s="204" t="s">
        <v>2276</v>
      </c>
      <c r="Q2802" s="204" t="s">
        <v>2276</v>
      </c>
      <c r="R2802" s="204" t="s">
        <v>2276</v>
      </c>
      <c r="S2802" s="204" t="s">
        <v>2276</v>
      </c>
      <c r="T2802" s="21">
        <f>750*0.004</f>
        <v>3</v>
      </c>
      <c r="U2802" s="204" t="s">
        <v>2276</v>
      </c>
      <c r="V2802" s="204" t="s">
        <v>2276</v>
      </c>
      <c r="W2802" s="204" t="s">
        <v>2276</v>
      </c>
      <c r="X2802" s="21">
        <f>T2802/'Record info'!K$1130</f>
        <v>4.4464206313917296E-4</v>
      </c>
      <c r="Y2802" s="204" t="s">
        <v>2276</v>
      </c>
      <c r="Z2802" s="204" t="s">
        <v>68</v>
      </c>
      <c r="AA2802" s="204" t="s">
        <v>86</v>
      </c>
      <c r="AB2802" s="204" t="s">
        <v>76</v>
      </c>
      <c r="AC2802" s="204"/>
      <c r="AD2802" s="204"/>
    </row>
    <row r="2803" spans="1:30" ht="41" customHeight="1">
      <c r="A2803" s="19" t="s">
        <v>7382</v>
      </c>
      <c r="B2803" s="19" t="s">
        <v>7579</v>
      </c>
      <c r="C2803" s="204" t="s">
        <v>24</v>
      </c>
      <c r="D2803" s="204" t="s">
        <v>1242</v>
      </c>
      <c r="E2803" s="204" t="s">
        <v>3209</v>
      </c>
      <c r="F2803" s="152" t="s">
        <v>2276</v>
      </c>
      <c r="G2803" s="152" t="s">
        <v>2276</v>
      </c>
      <c r="H2803" s="204" t="s">
        <v>523</v>
      </c>
      <c r="I2803" s="204">
        <v>2015</v>
      </c>
      <c r="J2803" s="204" t="s">
        <v>2276</v>
      </c>
      <c r="K2803" s="204" t="s">
        <v>2276</v>
      </c>
      <c r="L2803" s="204" t="s">
        <v>2276</v>
      </c>
      <c r="M2803" s="204" t="s">
        <v>2276</v>
      </c>
      <c r="N2803" s="204" t="s">
        <v>2276</v>
      </c>
      <c r="O2803" s="204" t="s">
        <v>2276</v>
      </c>
      <c r="P2803" s="204" t="s">
        <v>2276</v>
      </c>
      <c r="Q2803" s="204" t="s">
        <v>2276</v>
      </c>
      <c r="R2803" s="204" t="s">
        <v>2276</v>
      </c>
      <c r="S2803" s="204" t="s">
        <v>2276</v>
      </c>
      <c r="T2803" s="21">
        <f>750*0.004</f>
        <v>3</v>
      </c>
      <c r="U2803" s="204" t="s">
        <v>2276</v>
      </c>
      <c r="V2803" s="204" t="s">
        <v>2276</v>
      </c>
      <c r="W2803" s="204" t="s">
        <v>2276</v>
      </c>
      <c r="X2803" s="21">
        <f>T2803/'Record info'!K$1131</f>
        <v>5.9241706161137445E-4</v>
      </c>
      <c r="Y2803" s="204" t="s">
        <v>2276</v>
      </c>
      <c r="Z2803" s="204" t="s">
        <v>68</v>
      </c>
      <c r="AA2803" s="204" t="s">
        <v>86</v>
      </c>
      <c r="AB2803" s="204" t="s">
        <v>76</v>
      </c>
      <c r="AC2803" s="204"/>
      <c r="AD2803" s="204"/>
    </row>
    <row r="2804" spans="1:30" ht="41" customHeight="1">
      <c r="A2804" s="19" t="s">
        <v>7383</v>
      </c>
      <c r="B2804" s="19" t="s">
        <v>7580</v>
      </c>
      <c r="C2804" s="204" t="s">
        <v>24</v>
      </c>
      <c r="D2804" s="204" t="s">
        <v>1242</v>
      </c>
      <c r="E2804" s="204" t="s">
        <v>3209</v>
      </c>
      <c r="F2804" s="152" t="s">
        <v>2276</v>
      </c>
      <c r="G2804" s="152" t="s">
        <v>2276</v>
      </c>
      <c r="H2804" s="204" t="s">
        <v>524</v>
      </c>
      <c r="I2804" s="204">
        <v>2015</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f>T2804/'Record info'!K$1132</f>
        <v>0</v>
      </c>
      <c r="Y2804" s="204" t="s">
        <v>2276</v>
      </c>
      <c r="Z2804" s="204" t="s">
        <v>68</v>
      </c>
      <c r="AA2804" s="204" t="s">
        <v>86</v>
      </c>
      <c r="AB2804" s="204" t="s">
        <v>76</v>
      </c>
      <c r="AC2804" s="204"/>
      <c r="AD2804" s="204"/>
    </row>
    <row r="2805" spans="1:30" ht="41" customHeight="1">
      <c r="A2805" s="19" t="s">
        <v>7384</v>
      </c>
      <c r="B2805" s="19" t="s">
        <v>7581</v>
      </c>
      <c r="C2805" s="204" t="s">
        <v>24</v>
      </c>
      <c r="D2805" s="204" t="s">
        <v>1242</v>
      </c>
      <c r="E2805" s="204" t="s">
        <v>3209</v>
      </c>
      <c r="F2805" s="152" t="s">
        <v>2276</v>
      </c>
      <c r="G2805" s="152" t="s">
        <v>2276</v>
      </c>
      <c r="H2805" s="204" t="s">
        <v>524</v>
      </c>
      <c r="I2805" s="204">
        <v>2015</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info'!K$1133</f>
        <v>0</v>
      </c>
      <c r="Y2805" s="204" t="s">
        <v>2276</v>
      </c>
      <c r="Z2805" s="204" t="s">
        <v>68</v>
      </c>
      <c r="AA2805" s="204" t="s">
        <v>86</v>
      </c>
      <c r="AB2805" s="204" t="s">
        <v>76</v>
      </c>
      <c r="AC2805" s="204"/>
      <c r="AD2805" s="204"/>
    </row>
    <row r="2806" spans="1:30" ht="41" customHeight="1">
      <c r="A2806" s="19" t="s">
        <v>7385</v>
      </c>
      <c r="B2806" s="19" t="s">
        <v>7582</v>
      </c>
      <c r="C2806" s="204" t="s">
        <v>24</v>
      </c>
      <c r="D2806" s="204" t="s">
        <v>1242</v>
      </c>
      <c r="E2806" s="204" t="s">
        <v>3209</v>
      </c>
      <c r="F2806" s="152" t="s">
        <v>2276</v>
      </c>
      <c r="G2806" s="152" t="s">
        <v>2276</v>
      </c>
      <c r="H2806" s="204" t="s">
        <v>524</v>
      </c>
      <c r="I2806" s="204">
        <v>2015</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info'!K$1134</f>
        <v>0</v>
      </c>
      <c r="Y2806" s="204" t="s">
        <v>2276</v>
      </c>
      <c r="Z2806" s="204" t="s">
        <v>68</v>
      </c>
      <c r="AA2806" s="204" t="s">
        <v>86</v>
      </c>
      <c r="AB2806" s="204" t="s">
        <v>76</v>
      </c>
      <c r="AC2806" s="204"/>
      <c r="AD2806" s="204"/>
    </row>
    <row r="2807" spans="1:30" ht="41" customHeight="1">
      <c r="A2807" s="19" t="s">
        <v>7386</v>
      </c>
      <c r="B2807" s="19" t="s">
        <v>7583</v>
      </c>
      <c r="C2807" s="204" t="s">
        <v>24</v>
      </c>
      <c r="D2807" s="204" t="s">
        <v>1242</v>
      </c>
      <c r="E2807" s="204" t="s">
        <v>3209</v>
      </c>
      <c r="F2807" s="152" t="s">
        <v>2276</v>
      </c>
      <c r="G2807" s="152" t="s">
        <v>2276</v>
      </c>
      <c r="H2807" s="204" t="s">
        <v>523</v>
      </c>
      <c r="I2807" s="204">
        <v>2015</v>
      </c>
      <c r="J2807" s="204" t="s">
        <v>2276</v>
      </c>
      <c r="K2807" s="204" t="s">
        <v>2276</v>
      </c>
      <c r="L2807" s="204" t="s">
        <v>2276</v>
      </c>
      <c r="M2807" s="204" t="s">
        <v>2276</v>
      </c>
      <c r="N2807" s="204" t="s">
        <v>2276</v>
      </c>
      <c r="O2807" s="204" t="s">
        <v>2276</v>
      </c>
      <c r="P2807" s="204" t="s">
        <v>2276</v>
      </c>
      <c r="Q2807" s="204" t="s">
        <v>2276</v>
      </c>
      <c r="R2807" s="204" t="s">
        <v>2276</v>
      </c>
      <c r="S2807" s="204" t="s">
        <v>2276</v>
      </c>
      <c r="T2807" s="21">
        <f>750*0.035</f>
        <v>26.250000000000004</v>
      </c>
      <c r="U2807" s="204" t="s">
        <v>2276</v>
      </c>
      <c r="V2807" s="204" t="s">
        <v>2276</v>
      </c>
      <c r="W2807" s="204" t="s">
        <v>2276</v>
      </c>
      <c r="X2807" s="21">
        <f>T2807/'Record info'!K$1135</f>
        <v>4.3281121187139331E-3</v>
      </c>
      <c r="Y2807" s="204" t="s">
        <v>2276</v>
      </c>
      <c r="Z2807" s="204" t="s">
        <v>68</v>
      </c>
      <c r="AA2807" s="204" t="s">
        <v>86</v>
      </c>
      <c r="AB2807" s="204" t="s">
        <v>76</v>
      </c>
      <c r="AC2807" s="204"/>
      <c r="AD2807" s="204"/>
    </row>
    <row r="2808" spans="1:30" ht="41" customHeight="1">
      <c r="A2808" s="19" t="s">
        <v>7387</v>
      </c>
      <c r="B2808" s="19" t="s">
        <v>7584</v>
      </c>
      <c r="C2808" s="204" t="s">
        <v>24</v>
      </c>
      <c r="D2808" s="204" t="s">
        <v>1242</v>
      </c>
      <c r="E2808" s="204" t="s">
        <v>3209</v>
      </c>
      <c r="F2808" s="152" t="s">
        <v>2276</v>
      </c>
      <c r="G2808" s="152" t="s">
        <v>2276</v>
      </c>
      <c r="H2808" s="204" t="s">
        <v>523</v>
      </c>
      <c r="I2808" s="204">
        <v>2015</v>
      </c>
      <c r="J2808" s="204" t="s">
        <v>2276</v>
      </c>
      <c r="K2808" s="204" t="s">
        <v>2276</v>
      </c>
      <c r="L2808" s="204" t="s">
        <v>2276</v>
      </c>
      <c r="M2808" s="204" t="s">
        <v>2276</v>
      </c>
      <c r="N2808" s="204" t="s">
        <v>2276</v>
      </c>
      <c r="O2808" s="204" t="s">
        <v>2276</v>
      </c>
      <c r="P2808" s="204" t="s">
        <v>2276</v>
      </c>
      <c r="Q2808" s="204" t="s">
        <v>2276</v>
      </c>
      <c r="R2808" s="204" t="s">
        <v>2276</v>
      </c>
      <c r="S2808" s="204" t="s">
        <v>2276</v>
      </c>
      <c r="T2808" s="21">
        <f>750*0.079</f>
        <v>59.25</v>
      </c>
      <c r="U2808" s="204" t="s">
        <v>2276</v>
      </c>
      <c r="V2808" s="204" t="s">
        <v>2276</v>
      </c>
      <c r="W2808" s="204" t="s">
        <v>2276</v>
      </c>
      <c r="X2808" s="21">
        <f>T2808/'Record info'!K$1136</f>
        <v>8.8764044943820224E-3</v>
      </c>
      <c r="Y2808" s="204" t="s">
        <v>2276</v>
      </c>
      <c r="Z2808" s="204" t="s">
        <v>68</v>
      </c>
      <c r="AA2808" s="204" t="s">
        <v>86</v>
      </c>
      <c r="AB2808" s="204" t="s">
        <v>76</v>
      </c>
      <c r="AC2808" s="204"/>
      <c r="AD2808" s="204"/>
    </row>
    <row r="2809" spans="1:30" ht="41" customHeight="1">
      <c r="A2809" s="19" t="s">
        <v>7388</v>
      </c>
      <c r="B2809" s="19" t="s">
        <v>7585</v>
      </c>
      <c r="C2809" s="204" t="s">
        <v>24</v>
      </c>
      <c r="D2809" s="204" t="s">
        <v>1242</v>
      </c>
      <c r="E2809" s="204" t="s">
        <v>3209</v>
      </c>
      <c r="F2809" s="152" t="s">
        <v>2276</v>
      </c>
      <c r="G2809" s="152" t="s">
        <v>2276</v>
      </c>
      <c r="H2809" s="204" t="s">
        <v>523</v>
      </c>
      <c r="I2809" s="204">
        <v>2015</v>
      </c>
      <c r="J2809" s="204" t="s">
        <v>2276</v>
      </c>
      <c r="K2809" s="204" t="s">
        <v>2276</v>
      </c>
      <c r="L2809" s="204" t="s">
        <v>2276</v>
      </c>
      <c r="M2809" s="204" t="s">
        <v>2276</v>
      </c>
      <c r="N2809" s="204" t="s">
        <v>2276</v>
      </c>
      <c r="O2809" s="204" t="s">
        <v>2276</v>
      </c>
      <c r="P2809" s="204" t="s">
        <v>2276</v>
      </c>
      <c r="Q2809" s="204" t="s">
        <v>2276</v>
      </c>
      <c r="R2809" s="204" t="s">
        <v>2276</v>
      </c>
      <c r="S2809" s="204" t="s">
        <v>2276</v>
      </c>
      <c r="T2809" s="21">
        <f>750*0.132</f>
        <v>99</v>
      </c>
      <c r="U2809" s="204" t="s">
        <v>2276</v>
      </c>
      <c r="V2809" s="204" t="s">
        <v>2276</v>
      </c>
      <c r="W2809" s="204" t="s">
        <v>2276</v>
      </c>
      <c r="X2809" s="21">
        <f>T2809/'Record info'!K$1137</f>
        <v>1.7941283073577383E-2</v>
      </c>
      <c r="Y2809" s="204" t="s">
        <v>2276</v>
      </c>
      <c r="Z2809" s="204" t="s">
        <v>68</v>
      </c>
      <c r="AA2809" s="204" t="s">
        <v>86</v>
      </c>
      <c r="AB2809" s="204" t="s">
        <v>76</v>
      </c>
      <c r="AC2809" s="204"/>
      <c r="AD2809" s="204"/>
    </row>
    <row r="2810" spans="1:30" ht="41" customHeight="1">
      <c r="A2810" s="19" t="s">
        <v>7389</v>
      </c>
      <c r="B2810" s="19" t="s">
        <v>7586</v>
      </c>
      <c r="C2810" s="204" t="s">
        <v>24</v>
      </c>
      <c r="D2810" s="204" t="s">
        <v>1242</v>
      </c>
      <c r="E2810" s="204" t="s">
        <v>3209</v>
      </c>
      <c r="F2810" s="152" t="s">
        <v>2276</v>
      </c>
      <c r="G2810" s="152" t="s">
        <v>2276</v>
      </c>
      <c r="H2810" s="204" t="s">
        <v>523</v>
      </c>
      <c r="I2810" s="204">
        <v>2015</v>
      </c>
      <c r="J2810" s="204" t="s">
        <v>2276</v>
      </c>
      <c r="K2810" s="204" t="s">
        <v>2276</v>
      </c>
      <c r="L2810" s="204" t="s">
        <v>2276</v>
      </c>
      <c r="M2810" s="204" t="s">
        <v>2276</v>
      </c>
      <c r="N2810" s="204" t="s">
        <v>2276</v>
      </c>
      <c r="O2810" s="204" t="s">
        <v>2276</v>
      </c>
      <c r="P2810" s="204" t="s">
        <v>2276</v>
      </c>
      <c r="Q2810" s="204" t="s">
        <v>2276</v>
      </c>
      <c r="R2810" s="204" t="s">
        <v>2276</v>
      </c>
      <c r="S2810" s="204" t="s">
        <v>2276</v>
      </c>
      <c r="T2810" s="21">
        <f>750*0.057</f>
        <v>42.75</v>
      </c>
      <c r="U2810" s="204" t="s">
        <v>2276</v>
      </c>
      <c r="V2810" s="204" t="s">
        <v>2276</v>
      </c>
      <c r="W2810" s="204" t="s">
        <v>2276</v>
      </c>
      <c r="X2810" s="21">
        <f>T2810/'Record info'!K$1138</f>
        <v>1.0831010894350139E-2</v>
      </c>
      <c r="Y2810" s="204" t="s">
        <v>2276</v>
      </c>
      <c r="Z2810" s="204" t="s">
        <v>68</v>
      </c>
      <c r="AA2810" s="204" t="s">
        <v>86</v>
      </c>
      <c r="AB2810" s="204" t="s">
        <v>76</v>
      </c>
      <c r="AC2810" s="204"/>
      <c r="AD2810" s="204"/>
    </row>
    <row r="2811" spans="1:30" ht="41" customHeight="1">
      <c r="A2811" s="19" t="s">
        <v>7390</v>
      </c>
      <c r="B2811" s="19" t="s">
        <v>7587</v>
      </c>
      <c r="C2811" s="204" t="s">
        <v>24</v>
      </c>
      <c r="D2811" s="204" t="s">
        <v>1242</v>
      </c>
      <c r="E2811" s="204" t="s">
        <v>3209</v>
      </c>
      <c r="F2811" s="152" t="s">
        <v>2276</v>
      </c>
      <c r="G2811" s="152" t="s">
        <v>2276</v>
      </c>
      <c r="H2811" s="204" t="s">
        <v>523</v>
      </c>
      <c r="I2811" s="204">
        <v>2015</v>
      </c>
      <c r="J2811" s="204" t="s">
        <v>2276</v>
      </c>
      <c r="K2811" s="204" t="s">
        <v>2276</v>
      </c>
      <c r="L2811" s="204" t="s">
        <v>2276</v>
      </c>
      <c r="M2811" s="204" t="s">
        <v>2276</v>
      </c>
      <c r="N2811" s="204" t="s">
        <v>2276</v>
      </c>
      <c r="O2811" s="204" t="s">
        <v>2276</v>
      </c>
      <c r="P2811" s="204" t="s">
        <v>2276</v>
      </c>
      <c r="Q2811" s="204" t="s">
        <v>2276</v>
      </c>
      <c r="R2811" s="204" t="s">
        <v>2276</v>
      </c>
      <c r="S2811" s="204" t="s">
        <v>2276</v>
      </c>
      <c r="T2811" s="21">
        <f>750*0.024</f>
        <v>18</v>
      </c>
      <c r="U2811" s="204" t="s">
        <v>2276</v>
      </c>
      <c r="V2811" s="204" t="s">
        <v>2276</v>
      </c>
      <c r="W2811" s="204" t="s">
        <v>2276</v>
      </c>
      <c r="X2811" s="21">
        <f>T2811/'Record info'!K$1139</f>
        <v>6.41025641025641E-3</v>
      </c>
      <c r="Y2811" s="204" t="s">
        <v>2276</v>
      </c>
      <c r="Z2811" s="204" t="s">
        <v>68</v>
      </c>
      <c r="AA2811" s="204" t="s">
        <v>86</v>
      </c>
      <c r="AB2811" s="204" t="s">
        <v>76</v>
      </c>
      <c r="AC2811" s="204"/>
      <c r="AD2811" s="204"/>
    </row>
    <row r="2812" spans="1:30" ht="41" customHeight="1">
      <c r="A2812" s="19" t="s">
        <v>7391</v>
      </c>
      <c r="B2812" s="19" t="s">
        <v>7588</v>
      </c>
      <c r="C2812" s="204" t="s">
        <v>24</v>
      </c>
      <c r="D2812" s="204" t="s">
        <v>1242</v>
      </c>
      <c r="E2812" s="204" t="s">
        <v>3209</v>
      </c>
      <c r="F2812" s="152" t="s">
        <v>2276</v>
      </c>
      <c r="G2812" s="152" t="s">
        <v>2276</v>
      </c>
      <c r="H2812" s="204" t="s">
        <v>523</v>
      </c>
      <c r="I2812" s="204">
        <v>2015</v>
      </c>
      <c r="J2812" s="204" t="s">
        <v>2276</v>
      </c>
      <c r="K2812" s="204" t="s">
        <v>2276</v>
      </c>
      <c r="L2812" s="204" t="s">
        <v>2276</v>
      </c>
      <c r="M2812" s="204" t="s">
        <v>2276</v>
      </c>
      <c r="N2812" s="204" t="s">
        <v>2276</v>
      </c>
      <c r="O2812" s="204" t="s">
        <v>2276</v>
      </c>
      <c r="P2812" s="204" t="s">
        <v>2276</v>
      </c>
      <c r="Q2812" s="204" t="s">
        <v>2276</v>
      </c>
      <c r="R2812" s="204" t="s">
        <v>2276</v>
      </c>
      <c r="S2812" s="204" t="s">
        <v>2276</v>
      </c>
      <c r="T2812" s="21">
        <f>750*0.072</f>
        <v>53.999999999999993</v>
      </c>
      <c r="U2812" s="204" t="s">
        <v>2276</v>
      </c>
      <c r="V2812" s="204" t="s">
        <v>2276</v>
      </c>
      <c r="W2812" s="204" t="s">
        <v>2276</v>
      </c>
      <c r="X2812" s="21">
        <f>T2812/'Record info'!K$1140</f>
        <v>1.078490113840623E-2</v>
      </c>
      <c r="Y2812" s="204" t="s">
        <v>2276</v>
      </c>
      <c r="Z2812" s="204" t="s">
        <v>68</v>
      </c>
      <c r="AA2812" s="204" t="s">
        <v>86</v>
      </c>
      <c r="AB2812" s="204" t="s">
        <v>76</v>
      </c>
      <c r="AC2812" s="204"/>
      <c r="AD2812" s="204"/>
    </row>
    <row r="2813" spans="1:30" ht="41" customHeight="1">
      <c r="A2813" s="19" t="s">
        <v>7392</v>
      </c>
      <c r="B2813" s="19" t="s">
        <v>7589</v>
      </c>
      <c r="C2813" s="204" t="s">
        <v>24</v>
      </c>
      <c r="D2813" s="204" t="s">
        <v>1242</v>
      </c>
      <c r="E2813" s="204" t="s">
        <v>3209</v>
      </c>
      <c r="F2813" s="152" t="s">
        <v>2276</v>
      </c>
      <c r="G2813" s="152" t="s">
        <v>2276</v>
      </c>
      <c r="H2813" s="204" t="s">
        <v>523</v>
      </c>
      <c r="I2813" s="204">
        <v>2015</v>
      </c>
      <c r="J2813" s="204" t="s">
        <v>2276</v>
      </c>
      <c r="K2813" s="204" t="s">
        <v>2276</v>
      </c>
      <c r="L2813" s="204" t="s">
        <v>2276</v>
      </c>
      <c r="M2813" s="204" t="s">
        <v>2276</v>
      </c>
      <c r="N2813" s="204" t="s">
        <v>2276</v>
      </c>
      <c r="O2813" s="204" t="s">
        <v>2276</v>
      </c>
      <c r="P2813" s="204" t="s">
        <v>2276</v>
      </c>
      <c r="Q2813" s="204" t="s">
        <v>2276</v>
      </c>
      <c r="R2813" s="204" t="s">
        <v>2276</v>
      </c>
      <c r="S2813" s="204" t="s">
        <v>2276</v>
      </c>
      <c r="T2813" s="21">
        <f>750*0.068</f>
        <v>51.000000000000007</v>
      </c>
      <c r="U2813" s="204" t="s">
        <v>2276</v>
      </c>
      <c r="V2813" s="204" t="s">
        <v>2276</v>
      </c>
      <c r="W2813" s="204" t="s">
        <v>2276</v>
      </c>
      <c r="X2813" s="21">
        <f>T2813/'Record info'!K$1141</f>
        <v>4.3441226575809205E-2</v>
      </c>
      <c r="Y2813" s="204" t="s">
        <v>2276</v>
      </c>
      <c r="Z2813" s="204" t="s">
        <v>68</v>
      </c>
      <c r="AA2813" s="204" t="s">
        <v>86</v>
      </c>
      <c r="AB2813" s="204" t="s">
        <v>76</v>
      </c>
      <c r="AC2813" s="204"/>
      <c r="AD2813" s="204"/>
    </row>
    <row r="2814" spans="1:30" ht="41" customHeight="1">
      <c r="A2814" s="19" t="s">
        <v>7393</v>
      </c>
      <c r="B2814" s="19" t="s">
        <v>7590</v>
      </c>
      <c r="C2814" s="204" t="s">
        <v>24</v>
      </c>
      <c r="D2814" s="204" t="s">
        <v>1242</v>
      </c>
      <c r="E2814" s="204" t="s">
        <v>3209</v>
      </c>
      <c r="F2814" s="152" t="s">
        <v>2276</v>
      </c>
      <c r="G2814" s="152" t="s">
        <v>2276</v>
      </c>
      <c r="H2814" s="204" t="s">
        <v>523</v>
      </c>
      <c r="I2814" s="204">
        <v>2015</v>
      </c>
      <c r="J2814" s="204" t="s">
        <v>2276</v>
      </c>
      <c r="K2814" s="204" t="s">
        <v>2276</v>
      </c>
      <c r="L2814" s="204" t="s">
        <v>2276</v>
      </c>
      <c r="M2814" s="204" t="s">
        <v>2276</v>
      </c>
      <c r="N2814" s="204" t="s">
        <v>2276</v>
      </c>
      <c r="O2814" s="204" t="s">
        <v>2276</v>
      </c>
      <c r="P2814" s="204" t="s">
        <v>2276</v>
      </c>
      <c r="Q2814" s="204" t="s">
        <v>2276</v>
      </c>
      <c r="R2814" s="204" t="s">
        <v>2276</v>
      </c>
      <c r="S2814" s="204" t="s">
        <v>2276</v>
      </c>
      <c r="T2814" s="21">
        <f>750*0.075</f>
        <v>56.25</v>
      </c>
      <c r="U2814" s="204" t="s">
        <v>2276</v>
      </c>
      <c r="V2814" s="204" t="s">
        <v>2276</v>
      </c>
      <c r="W2814" s="204" t="s">
        <v>2276</v>
      </c>
      <c r="X2814" s="21">
        <f>T2814/'Record info'!K$1142</f>
        <v>1.2996765249537892E-2</v>
      </c>
      <c r="Y2814" s="204" t="s">
        <v>2276</v>
      </c>
      <c r="Z2814" s="204" t="s">
        <v>68</v>
      </c>
      <c r="AA2814" s="204" t="s">
        <v>86</v>
      </c>
      <c r="AB2814" s="204" t="s">
        <v>76</v>
      </c>
      <c r="AC2814" s="204"/>
      <c r="AD2814" s="204"/>
    </row>
    <row r="2815" spans="1:30" ht="41" customHeight="1">
      <c r="A2815" s="19" t="s">
        <v>7394</v>
      </c>
      <c r="B2815" s="19" t="s">
        <v>7591</v>
      </c>
      <c r="C2815" s="204" t="s">
        <v>24</v>
      </c>
      <c r="D2815" s="204" t="s">
        <v>1242</v>
      </c>
      <c r="E2815" s="204" t="s">
        <v>3209</v>
      </c>
      <c r="F2815" s="152" t="s">
        <v>2276</v>
      </c>
      <c r="G2815" s="152" t="s">
        <v>2276</v>
      </c>
      <c r="H2815" s="204" t="s">
        <v>523</v>
      </c>
      <c r="I2815" s="204">
        <v>2015</v>
      </c>
      <c r="J2815" s="204" t="s">
        <v>2276</v>
      </c>
      <c r="K2815" s="204" t="s">
        <v>2276</v>
      </c>
      <c r="L2815" s="204" t="s">
        <v>2276</v>
      </c>
      <c r="M2815" s="204" t="s">
        <v>2276</v>
      </c>
      <c r="N2815" s="204" t="s">
        <v>2276</v>
      </c>
      <c r="O2815" s="204" t="s">
        <v>2276</v>
      </c>
      <c r="P2815" s="204" t="s">
        <v>2276</v>
      </c>
      <c r="Q2815" s="204" t="s">
        <v>2276</v>
      </c>
      <c r="R2815" s="204" t="s">
        <v>2276</v>
      </c>
      <c r="S2815" s="204" t="s">
        <v>2276</v>
      </c>
      <c r="T2815" s="21">
        <f>750*0.111</f>
        <v>83.25</v>
      </c>
      <c r="U2815" s="204" t="s">
        <v>2276</v>
      </c>
      <c r="V2815" s="204" t="s">
        <v>2276</v>
      </c>
      <c r="W2815" s="204" t="s">
        <v>2276</v>
      </c>
      <c r="X2815" s="21">
        <f>T2815/'Record info'!K$1143</f>
        <v>3.475991649269311E-2</v>
      </c>
      <c r="Y2815" s="204" t="s">
        <v>2276</v>
      </c>
      <c r="Z2815" s="204" t="s">
        <v>68</v>
      </c>
      <c r="AA2815" s="204" t="s">
        <v>86</v>
      </c>
      <c r="AB2815" s="204" t="s">
        <v>76</v>
      </c>
      <c r="AC2815" s="204"/>
      <c r="AD2815" s="204"/>
    </row>
    <row r="2816" spans="1:30" ht="41" customHeight="1">
      <c r="A2816" s="19" t="s">
        <v>7395</v>
      </c>
      <c r="B2816" s="19" t="s">
        <v>7592</v>
      </c>
      <c r="C2816" s="204" t="s">
        <v>24</v>
      </c>
      <c r="D2816" s="204" t="s">
        <v>1242</v>
      </c>
      <c r="E2816" s="204" t="s">
        <v>3209</v>
      </c>
      <c r="F2816" s="152" t="s">
        <v>2276</v>
      </c>
      <c r="G2816" s="152" t="s">
        <v>2276</v>
      </c>
      <c r="H2816" s="204" t="s">
        <v>523</v>
      </c>
      <c r="I2816" s="204">
        <v>2015</v>
      </c>
      <c r="J2816" s="204" t="s">
        <v>2276</v>
      </c>
      <c r="K2816" s="204" t="s">
        <v>2276</v>
      </c>
      <c r="L2816" s="204" t="s">
        <v>2276</v>
      </c>
      <c r="M2816" s="204" t="s">
        <v>2276</v>
      </c>
      <c r="N2816" s="204" t="s">
        <v>2276</v>
      </c>
      <c r="O2816" s="204" t="s">
        <v>2276</v>
      </c>
      <c r="P2816" s="204" t="s">
        <v>2276</v>
      </c>
      <c r="Q2816" s="204" t="s">
        <v>2276</v>
      </c>
      <c r="R2816" s="204" t="s">
        <v>2276</v>
      </c>
      <c r="S2816" s="204" t="s">
        <v>2276</v>
      </c>
      <c r="T2816" s="21">
        <f>750*0.106</f>
        <v>79.5</v>
      </c>
      <c r="U2816" s="204" t="s">
        <v>2276</v>
      </c>
      <c r="V2816" s="204" t="s">
        <v>2276</v>
      </c>
      <c r="W2816" s="204" t="s">
        <v>2276</v>
      </c>
      <c r="X2816" s="21">
        <f>T2816/'Record info'!K$1144</f>
        <v>2.9741863075196408E-2</v>
      </c>
      <c r="Y2816" s="204" t="s">
        <v>2276</v>
      </c>
      <c r="Z2816" s="204" t="s">
        <v>68</v>
      </c>
      <c r="AA2816" s="204" t="s">
        <v>86</v>
      </c>
      <c r="AB2816" s="204" t="s">
        <v>76</v>
      </c>
      <c r="AC2816" s="204"/>
      <c r="AD2816" s="204"/>
    </row>
    <row r="2817" spans="1:30" ht="41" customHeight="1">
      <c r="A2817" s="19" t="s">
        <v>7396</v>
      </c>
      <c r="B2817" s="19" t="s">
        <v>7593</v>
      </c>
      <c r="C2817" s="204" t="s">
        <v>24</v>
      </c>
      <c r="D2817" s="204" t="s">
        <v>1242</v>
      </c>
      <c r="E2817" s="204" t="s">
        <v>3209</v>
      </c>
      <c r="F2817" s="152" t="s">
        <v>2276</v>
      </c>
      <c r="G2817" s="152" t="s">
        <v>2276</v>
      </c>
      <c r="H2817" s="204" t="s">
        <v>523</v>
      </c>
      <c r="I2817" s="204">
        <v>2015</v>
      </c>
      <c r="J2817" s="204" t="s">
        <v>2276</v>
      </c>
      <c r="K2817" s="204" t="s">
        <v>2276</v>
      </c>
      <c r="L2817" s="204" t="s">
        <v>2276</v>
      </c>
      <c r="M2817" s="204" t="s">
        <v>2276</v>
      </c>
      <c r="N2817" s="204" t="s">
        <v>2276</v>
      </c>
      <c r="O2817" s="204" t="s">
        <v>2276</v>
      </c>
      <c r="P2817" s="204" t="s">
        <v>2276</v>
      </c>
      <c r="Q2817" s="204" t="s">
        <v>2276</v>
      </c>
      <c r="R2817" s="204" t="s">
        <v>2276</v>
      </c>
      <c r="S2817" s="204" t="s">
        <v>2276</v>
      </c>
      <c r="T2817" s="21">
        <f>750*0.166</f>
        <v>124.5</v>
      </c>
      <c r="U2817" s="204" t="s">
        <v>2276</v>
      </c>
      <c r="V2817" s="204" t="s">
        <v>2276</v>
      </c>
      <c r="W2817" s="204" t="s">
        <v>2276</v>
      </c>
      <c r="X2817" s="21">
        <f>T2817/'Record info'!K$1145</f>
        <v>5.5210643015521067E-2</v>
      </c>
      <c r="Y2817" s="204" t="s">
        <v>2276</v>
      </c>
      <c r="Z2817" s="204" t="s">
        <v>68</v>
      </c>
      <c r="AA2817" s="204" t="s">
        <v>86</v>
      </c>
      <c r="AB2817" s="204" t="s">
        <v>76</v>
      </c>
      <c r="AC2817" s="204"/>
      <c r="AD2817" s="204"/>
    </row>
    <row r="2818" spans="1:30" ht="31" customHeight="1">
      <c r="A2818" s="19" t="s">
        <v>7595</v>
      </c>
      <c r="B2818" s="19" t="s">
        <v>7596</v>
      </c>
      <c r="C2818" s="204" t="s">
        <v>24</v>
      </c>
      <c r="D2818" s="204" t="s">
        <v>1242</v>
      </c>
      <c r="E2818" s="204" t="s">
        <v>3209</v>
      </c>
      <c r="F2818" s="152" t="s">
        <v>2276</v>
      </c>
      <c r="G2818" s="152" t="s">
        <v>2276</v>
      </c>
      <c r="H2818" s="204" t="s">
        <v>523</v>
      </c>
      <c r="I2818" s="11">
        <v>1998</v>
      </c>
      <c r="J2818" s="204" t="s">
        <v>2276</v>
      </c>
      <c r="K2818" s="204" t="s">
        <v>2276</v>
      </c>
      <c r="L2818" s="204" t="s">
        <v>2276</v>
      </c>
      <c r="M2818" s="204" t="s">
        <v>2276</v>
      </c>
      <c r="N2818" s="204" t="s">
        <v>2276</v>
      </c>
      <c r="O2818" s="204" t="s">
        <v>2276</v>
      </c>
      <c r="P2818" s="204" t="s">
        <v>2276</v>
      </c>
      <c r="Q2818" s="204" t="s">
        <v>2276</v>
      </c>
      <c r="R2818" s="204" t="s">
        <v>2276</v>
      </c>
      <c r="S2818" s="204" t="s">
        <v>2276</v>
      </c>
      <c r="T2818" s="21">
        <v>6</v>
      </c>
      <c r="U2818" s="204" t="s">
        <v>2276</v>
      </c>
      <c r="V2818" s="204" t="s">
        <v>2276</v>
      </c>
      <c r="W2818" s="204" t="s">
        <v>2276</v>
      </c>
      <c r="X2818" s="218">
        <f>T2818/'Record info'!K$1146</f>
        <v>2.5965033754543881E-4</v>
      </c>
      <c r="Y2818" s="204" t="s">
        <v>2276</v>
      </c>
      <c r="Z2818" s="204" t="s">
        <v>188</v>
      </c>
      <c r="AA2818" s="204" t="s">
        <v>189</v>
      </c>
      <c r="AB2818" s="204" t="s">
        <v>64</v>
      </c>
      <c r="AC2818" s="204"/>
      <c r="AD2818" s="204"/>
    </row>
    <row r="2819" spans="1:30" ht="27.5" customHeight="1">
      <c r="A2819" s="19" t="s">
        <v>7595</v>
      </c>
      <c r="B2819" s="19" t="s">
        <v>7597</v>
      </c>
      <c r="C2819" s="204" t="s">
        <v>24</v>
      </c>
      <c r="D2819" s="204" t="s">
        <v>1242</v>
      </c>
      <c r="E2819" s="204" t="s">
        <v>3209</v>
      </c>
      <c r="F2819" s="152" t="s">
        <v>2276</v>
      </c>
      <c r="G2819" s="152" t="s">
        <v>2276</v>
      </c>
      <c r="H2819" s="204" t="s">
        <v>523</v>
      </c>
      <c r="I2819" s="11">
        <v>1999</v>
      </c>
      <c r="J2819" s="204" t="s">
        <v>2276</v>
      </c>
      <c r="K2819" s="204" t="s">
        <v>2276</v>
      </c>
      <c r="L2819" s="204" t="s">
        <v>2276</v>
      </c>
      <c r="M2819" s="204" t="s">
        <v>2276</v>
      </c>
      <c r="N2819" s="204" t="s">
        <v>2276</v>
      </c>
      <c r="O2819" s="204" t="s">
        <v>2276</v>
      </c>
      <c r="P2819" s="204" t="s">
        <v>2276</v>
      </c>
      <c r="Q2819" s="204" t="s">
        <v>2276</v>
      </c>
      <c r="R2819" s="204" t="s">
        <v>2276</v>
      </c>
      <c r="S2819" s="204" t="s">
        <v>2276</v>
      </c>
      <c r="T2819" s="21">
        <v>0.4</v>
      </c>
      <c r="U2819" s="204" t="s">
        <v>2276</v>
      </c>
      <c r="V2819" s="204" t="s">
        <v>2276</v>
      </c>
      <c r="W2819" s="204" t="s">
        <v>2276</v>
      </c>
      <c r="X2819" s="218">
        <f>T2819/'Record info'!K$1146</f>
        <v>1.7310022503029254E-5</v>
      </c>
      <c r="Y2819" s="204" t="s">
        <v>2276</v>
      </c>
      <c r="Z2819" s="204" t="s">
        <v>188</v>
      </c>
      <c r="AA2819" s="204" t="s">
        <v>189</v>
      </c>
      <c r="AB2819" s="204" t="s">
        <v>64</v>
      </c>
      <c r="AC2819" s="204"/>
      <c r="AD2819" s="204"/>
    </row>
    <row r="2820" spans="1:30" ht="27.5" customHeight="1">
      <c r="A2820" s="19" t="s">
        <v>7595</v>
      </c>
      <c r="B2820" s="19" t="s">
        <v>7598</v>
      </c>
      <c r="C2820" s="204" t="s">
        <v>24</v>
      </c>
      <c r="D2820" s="204" t="s">
        <v>1242</v>
      </c>
      <c r="E2820" s="204" t="s">
        <v>3209</v>
      </c>
      <c r="F2820" s="152" t="s">
        <v>2276</v>
      </c>
      <c r="G2820" s="152" t="s">
        <v>2276</v>
      </c>
      <c r="H2820" s="204" t="s">
        <v>523</v>
      </c>
      <c r="I2820" s="11">
        <v>2000</v>
      </c>
      <c r="J2820" s="204" t="s">
        <v>2276</v>
      </c>
      <c r="K2820" s="204" t="s">
        <v>2276</v>
      </c>
      <c r="L2820" s="204" t="s">
        <v>2276</v>
      </c>
      <c r="M2820" s="204" t="s">
        <v>2276</v>
      </c>
      <c r="N2820" s="204" t="s">
        <v>2276</v>
      </c>
      <c r="O2820" s="204" t="s">
        <v>2276</v>
      </c>
      <c r="P2820" s="204" t="s">
        <v>2276</v>
      </c>
      <c r="Q2820" s="204" t="s">
        <v>2276</v>
      </c>
      <c r="R2820" s="204" t="s">
        <v>2276</v>
      </c>
      <c r="S2820" s="204" t="s">
        <v>2276</v>
      </c>
      <c r="T2820" s="21">
        <v>35</v>
      </c>
      <c r="U2820" s="204" t="s">
        <v>2276</v>
      </c>
      <c r="V2820" s="204" t="s">
        <v>2276</v>
      </c>
      <c r="W2820" s="204" t="s">
        <v>2276</v>
      </c>
      <c r="X2820" s="218">
        <f>T2820/'Record info'!K$1146</f>
        <v>1.5146269690150596E-3</v>
      </c>
      <c r="Y2820" s="204" t="s">
        <v>2276</v>
      </c>
      <c r="Z2820" s="204" t="s">
        <v>188</v>
      </c>
      <c r="AA2820" s="204" t="s">
        <v>189</v>
      </c>
      <c r="AB2820" s="204" t="s">
        <v>64</v>
      </c>
      <c r="AC2820" s="204"/>
      <c r="AD2820" s="204"/>
    </row>
    <row r="2821" spans="1:30" ht="27.5" customHeight="1">
      <c r="A2821" s="19" t="s">
        <v>7595</v>
      </c>
      <c r="B2821" s="19" t="s">
        <v>7599</v>
      </c>
      <c r="C2821" s="204" t="s">
        <v>24</v>
      </c>
      <c r="D2821" s="204" t="s">
        <v>1242</v>
      </c>
      <c r="E2821" s="204" t="s">
        <v>3209</v>
      </c>
      <c r="F2821" s="152" t="s">
        <v>2276</v>
      </c>
      <c r="G2821" s="152" t="s">
        <v>2276</v>
      </c>
      <c r="H2821" s="204" t="s">
        <v>523</v>
      </c>
      <c r="I2821" s="11">
        <v>2001</v>
      </c>
      <c r="J2821" s="204" t="s">
        <v>2276</v>
      </c>
      <c r="K2821" s="204" t="s">
        <v>2276</v>
      </c>
      <c r="L2821" s="204" t="s">
        <v>2276</v>
      </c>
      <c r="M2821" s="204" t="s">
        <v>2276</v>
      </c>
      <c r="N2821" s="204" t="s">
        <v>2276</v>
      </c>
      <c r="O2821" s="204" t="s">
        <v>2276</v>
      </c>
      <c r="P2821" s="204" t="s">
        <v>2276</v>
      </c>
      <c r="Q2821" s="204" t="s">
        <v>2276</v>
      </c>
      <c r="R2821" s="204" t="s">
        <v>2276</v>
      </c>
      <c r="S2821" s="204" t="s">
        <v>2276</v>
      </c>
      <c r="T2821" s="21">
        <v>45</v>
      </c>
      <c r="U2821" s="204" t="s">
        <v>2276</v>
      </c>
      <c r="V2821" s="204" t="s">
        <v>2276</v>
      </c>
      <c r="W2821" s="204" t="s">
        <v>2276</v>
      </c>
      <c r="X2821" s="218">
        <f>T2821/'Record info'!K$1146</f>
        <v>1.9473775315907911E-3</v>
      </c>
      <c r="Y2821" s="204" t="s">
        <v>2276</v>
      </c>
      <c r="Z2821" s="204" t="s">
        <v>188</v>
      </c>
      <c r="AA2821" s="204" t="s">
        <v>189</v>
      </c>
      <c r="AB2821" s="204" t="s">
        <v>64</v>
      </c>
      <c r="AC2821" s="204"/>
      <c r="AD2821" s="204"/>
    </row>
    <row r="2822" spans="1:30" ht="27.5" customHeight="1">
      <c r="A2822" s="19" t="s">
        <v>7595</v>
      </c>
      <c r="B2822" s="19" t="s">
        <v>7600</v>
      </c>
      <c r="C2822" s="204" t="s">
        <v>24</v>
      </c>
      <c r="D2822" s="204" t="s">
        <v>1242</v>
      </c>
      <c r="E2822" s="204" t="s">
        <v>3209</v>
      </c>
      <c r="F2822" s="152" t="s">
        <v>2276</v>
      </c>
      <c r="G2822" s="152" t="s">
        <v>2276</v>
      </c>
      <c r="H2822" s="204" t="s">
        <v>523</v>
      </c>
      <c r="I2822" s="11">
        <v>2002</v>
      </c>
      <c r="J2822" s="204" t="s">
        <v>2276</v>
      </c>
      <c r="K2822" s="204" t="s">
        <v>2276</v>
      </c>
      <c r="L2822" s="204" t="s">
        <v>2276</v>
      </c>
      <c r="M2822" s="204" t="s">
        <v>2276</v>
      </c>
      <c r="N2822" s="204" t="s">
        <v>2276</v>
      </c>
      <c r="O2822" s="204" t="s">
        <v>2276</v>
      </c>
      <c r="P2822" s="204" t="s">
        <v>2276</v>
      </c>
      <c r="Q2822" s="204" t="s">
        <v>2276</v>
      </c>
      <c r="R2822" s="204" t="s">
        <v>2276</v>
      </c>
      <c r="S2822" s="204" t="s">
        <v>2276</v>
      </c>
      <c r="T2822" s="21">
        <v>325</v>
      </c>
      <c r="U2822" s="204" t="s">
        <v>2276</v>
      </c>
      <c r="V2822" s="204" t="s">
        <v>2276</v>
      </c>
      <c r="W2822" s="204" t="s">
        <v>2276</v>
      </c>
      <c r="X2822" s="218">
        <f>T2822/'Record info'!K$1146</f>
        <v>1.4064393283711269E-2</v>
      </c>
      <c r="Y2822" s="204" t="s">
        <v>2276</v>
      </c>
      <c r="Z2822" s="204" t="s">
        <v>188</v>
      </c>
      <c r="AA2822" s="204" t="s">
        <v>189</v>
      </c>
      <c r="AB2822" s="204" t="s">
        <v>64</v>
      </c>
      <c r="AC2822" s="204"/>
      <c r="AD2822" s="204"/>
    </row>
    <row r="2823" spans="1:30" ht="27.5" customHeight="1">
      <c r="A2823" s="19" t="s">
        <v>7595</v>
      </c>
      <c r="B2823" s="19" t="s">
        <v>7601</v>
      </c>
      <c r="C2823" s="204" t="s">
        <v>24</v>
      </c>
      <c r="D2823" s="204" t="s">
        <v>1242</v>
      </c>
      <c r="E2823" s="204" t="s">
        <v>3209</v>
      </c>
      <c r="F2823" s="152" t="s">
        <v>2276</v>
      </c>
      <c r="G2823" s="152" t="s">
        <v>2276</v>
      </c>
      <c r="H2823" s="204" t="s">
        <v>523</v>
      </c>
      <c r="I2823" s="11">
        <v>2003</v>
      </c>
      <c r="J2823" s="204" t="s">
        <v>2276</v>
      </c>
      <c r="K2823" s="204" t="s">
        <v>2276</v>
      </c>
      <c r="L2823" s="204" t="s">
        <v>2276</v>
      </c>
      <c r="M2823" s="204" t="s">
        <v>2276</v>
      </c>
      <c r="N2823" s="204" t="s">
        <v>2276</v>
      </c>
      <c r="O2823" s="204" t="s">
        <v>2276</v>
      </c>
      <c r="P2823" s="204" t="s">
        <v>2276</v>
      </c>
      <c r="Q2823" s="204" t="s">
        <v>2276</v>
      </c>
      <c r="R2823" s="204" t="s">
        <v>2276</v>
      </c>
      <c r="S2823" s="204" t="s">
        <v>2276</v>
      </c>
      <c r="T2823" s="21">
        <v>175</v>
      </c>
      <c r="U2823" s="204" t="s">
        <v>2276</v>
      </c>
      <c r="V2823" s="204" t="s">
        <v>2276</v>
      </c>
      <c r="W2823" s="204" t="s">
        <v>2276</v>
      </c>
      <c r="X2823" s="218">
        <f>T2823/'Record info'!K$1146</f>
        <v>7.5731348450752984E-3</v>
      </c>
      <c r="Y2823" s="204" t="s">
        <v>2276</v>
      </c>
      <c r="Z2823" s="204" t="s">
        <v>188</v>
      </c>
      <c r="AA2823" s="204" t="s">
        <v>189</v>
      </c>
      <c r="AB2823" s="204" t="s">
        <v>64</v>
      </c>
      <c r="AC2823" s="204"/>
      <c r="AD2823" s="204"/>
    </row>
    <row r="2824" spans="1:30" ht="27.5" customHeight="1">
      <c r="A2824" s="19" t="s">
        <v>7595</v>
      </c>
      <c r="B2824" s="19" t="s">
        <v>7602</v>
      </c>
      <c r="C2824" s="204" t="s">
        <v>24</v>
      </c>
      <c r="D2824" s="204" t="s">
        <v>1242</v>
      </c>
      <c r="E2824" s="204" t="s">
        <v>3209</v>
      </c>
      <c r="F2824" s="152" t="s">
        <v>2276</v>
      </c>
      <c r="G2824" s="152" t="s">
        <v>2276</v>
      </c>
      <c r="H2824" s="204" t="s">
        <v>523</v>
      </c>
      <c r="I2824" s="11">
        <v>2004</v>
      </c>
      <c r="J2824" s="204" t="s">
        <v>2276</v>
      </c>
      <c r="K2824" s="204" t="s">
        <v>2276</v>
      </c>
      <c r="L2824" s="204" t="s">
        <v>2276</v>
      </c>
      <c r="M2824" s="204" t="s">
        <v>2276</v>
      </c>
      <c r="N2824" s="204" t="s">
        <v>2276</v>
      </c>
      <c r="O2824" s="204" t="s">
        <v>2276</v>
      </c>
      <c r="P2824" s="204" t="s">
        <v>2276</v>
      </c>
      <c r="Q2824" s="204" t="s">
        <v>2276</v>
      </c>
      <c r="R2824" s="204" t="s">
        <v>2276</v>
      </c>
      <c r="S2824" s="204" t="s">
        <v>2276</v>
      </c>
      <c r="T2824" s="21">
        <v>100</v>
      </c>
      <c r="U2824" s="204" t="s">
        <v>2276</v>
      </c>
      <c r="V2824" s="204" t="s">
        <v>2276</v>
      </c>
      <c r="W2824" s="204" t="s">
        <v>2276</v>
      </c>
      <c r="X2824" s="218">
        <f>T2824/'Record info'!K$1146</f>
        <v>4.3275056257573137E-3</v>
      </c>
      <c r="Y2824" s="204" t="s">
        <v>2276</v>
      </c>
      <c r="Z2824" s="204" t="s">
        <v>188</v>
      </c>
      <c r="AA2824" s="204" t="s">
        <v>189</v>
      </c>
      <c r="AB2824" s="204" t="s">
        <v>64</v>
      </c>
      <c r="AC2824" s="204"/>
      <c r="AD2824" s="204"/>
    </row>
    <row r="2825" spans="1:30" ht="27.5" customHeight="1">
      <c r="A2825" s="19" t="s">
        <v>7595</v>
      </c>
      <c r="B2825" s="19" t="s">
        <v>7603</v>
      </c>
      <c r="C2825" s="204" t="s">
        <v>24</v>
      </c>
      <c r="D2825" s="204" t="s">
        <v>1242</v>
      </c>
      <c r="E2825" s="204" t="s">
        <v>3209</v>
      </c>
      <c r="F2825" s="152" t="s">
        <v>2276</v>
      </c>
      <c r="G2825" s="152" t="s">
        <v>2276</v>
      </c>
      <c r="H2825" s="204" t="s">
        <v>523</v>
      </c>
      <c r="I2825" s="11">
        <v>2005</v>
      </c>
      <c r="J2825" s="204" t="s">
        <v>2276</v>
      </c>
      <c r="K2825" s="204" t="s">
        <v>2276</v>
      </c>
      <c r="L2825" s="204" t="s">
        <v>2276</v>
      </c>
      <c r="M2825" s="204" t="s">
        <v>2276</v>
      </c>
      <c r="N2825" s="204" t="s">
        <v>2276</v>
      </c>
      <c r="O2825" s="204" t="s">
        <v>2276</v>
      </c>
      <c r="P2825" s="204" t="s">
        <v>2276</v>
      </c>
      <c r="Q2825" s="204" t="s">
        <v>2276</v>
      </c>
      <c r="R2825" s="204" t="s">
        <v>2276</v>
      </c>
      <c r="S2825" s="204" t="s">
        <v>2276</v>
      </c>
      <c r="T2825" s="21">
        <v>125</v>
      </c>
      <c r="U2825" s="204" t="s">
        <v>2276</v>
      </c>
      <c r="V2825" s="204" t="s">
        <v>2276</v>
      </c>
      <c r="W2825" s="204" t="s">
        <v>2276</v>
      </c>
      <c r="X2825" s="218">
        <f>T2825/'Record info'!K$1146</f>
        <v>5.409382032196642E-3</v>
      </c>
      <c r="Y2825" s="204" t="s">
        <v>2276</v>
      </c>
      <c r="Z2825" s="204" t="s">
        <v>188</v>
      </c>
      <c r="AA2825" s="204" t="s">
        <v>189</v>
      </c>
      <c r="AB2825" s="204" t="s">
        <v>64</v>
      </c>
      <c r="AC2825" s="204"/>
      <c r="AD2825" s="204"/>
    </row>
    <row r="2826" spans="1:30" ht="27.5" customHeight="1">
      <c r="A2826" s="19" t="s">
        <v>7595</v>
      </c>
      <c r="B2826" s="19" t="s">
        <v>7604</v>
      </c>
      <c r="C2826" s="204" t="s">
        <v>24</v>
      </c>
      <c r="D2826" s="204" t="s">
        <v>1242</v>
      </c>
      <c r="E2826" s="204" t="s">
        <v>3209</v>
      </c>
      <c r="F2826" s="152" t="s">
        <v>2276</v>
      </c>
      <c r="G2826" s="152" t="s">
        <v>2276</v>
      </c>
      <c r="H2826" s="204" t="s">
        <v>523</v>
      </c>
      <c r="I2826" s="11">
        <v>2006</v>
      </c>
      <c r="J2826" s="204" t="s">
        <v>2276</v>
      </c>
      <c r="K2826" s="204" t="s">
        <v>2276</v>
      </c>
      <c r="L2826" s="204" t="s">
        <v>2276</v>
      </c>
      <c r="M2826" s="204" t="s">
        <v>2276</v>
      </c>
      <c r="N2826" s="204" t="s">
        <v>2276</v>
      </c>
      <c r="O2826" s="204" t="s">
        <v>2276</v>
      </c>
      <c r="P2826" s="204" t="s">
        <v>2276</v>
      </c>
      <c r="Q2826" s="204" t="s">
        <v>2276</v>
      </c>
      <c r="R2826" s="204" t="s">
        <v>2276</v>
      </c>
      <c r="S2826" s="204" t="s">
        <v>2276</v>
      </c>
      <c r="T2826" s="21">
        <v>75</v>
      </c>
      <c r="U2826" s="204" t="s">
        <v>2276</v>
      </c>
      <c r="V2826" s="204" t="s">
        <v>2276</v>
      </c>
      <c r="W2826" s="204" t="s">
        <v>2276</v>
      </c>
      <c r="X2826" s="218">
        <f>T2826/'Record info'!K$1146</f>
        <v>3.2456292193179851E-3</v>
      </c>
      <c r="Y2826" s="204" t="s">
        <v>2276</v>
      </c>
      <c r="Z2826" s="204" t="s">
        <v>188</v>
      </c>
      <c r="AA2826" s="204" t="s">
        <v>189</v>
      </c>
      <c r="AB2826" s="204" t="s">
        <v>64</v>
      </c>
      <c r="AC2826" s="204"/>
      <c r="AD2826" s="204"/>
    </row>
    <row r="2827" spans="1:30" ht="27.5" customHeight="1">
      <c r="A2827" s="19" t="s">
        <v>7595</v>
      </c>
      <c r="B2827" s="19" t="s">
        <v>7605</v>
      </c>
      <c r="C2827" s="204" t="s">
        <v>24</v>
      </c>
      <c r="D2827" s="204" t="s">
        <v>1242</v>
      </c>
      <c r="E2827" s="204" t="s">
        <v>3209</v>
      </c>
      <c r="F2827" s="152" t="s">
        <v>2276</v>
      </c>
      <c r="G2827" s="152" t="s">
        <v>2276</v>
      </c>
      <c r="H2827" s="204" t="s">
        <v>523</v>
      </c>
      <c r="I2827" s="11">
        <v>2007</v>
      </c>
      <c r="J2827" s="204" t="s">
        <v>2276</v>
      </c>
      <c r="K2827" s="204" t="s">
        <v>2276</v>
      </c>
      <c r="L2827" s="204" t="s">
        <v>2276</v>
      </c>
      <c r="M2827" s="204" t="s">
        <v>2276</v>
      </c>
      <c r="N2827" s="204" t="s">
        <v>2276</v>
      </c>
      <c r="O2827" s="204" t="s">
        <v>2276</v>
      </c>
      <c r="P2827" s="204" t="s">
        <v>2276</v>
      </c>
      <c r="Q2827" s="204" t="s">
        <v>2276</v>
      </c>
      <c r="R2827" s="204" t="s">
        <v>2276</v>
      </c>
      <c r="S2827" s="204" t="s">
        <v>2276</v>
      </c>
      <c r="T2827" s="21">
        <v>95</v>
      </c>
      <c r="U2827" s="204" t="s">
        <v>2276</v>
      </c>
      <c r="V2827" s="204" t="s">
        <v>2276</v>
      </c>
      <c r="W2827" s="204" t="s">
        <v>2276</v>
      </c>
      <c r="X2827" s="218">
        <f>T2827/'Record info'!K$1146</f>
        <v>4.1111303444694479E-3</v>
      </c>
      <c r="Y2827" s="204" t="s">
        <v>2276</v>
      </c>
      <c r="Z2827" s="204" t="s">
        <v>188</v>
      </c>
      <c r="AA2827" s="204" t="s">
        <v>189</v>
      </c>
      <c r="AB2827" s="204" t="s">
        <v>64</v>
      </c>
      <c r="AC2827" s="204"/>
      <c r="AD2827" s="204"/>
    </row>
    <row r="2828" spans="1:30" ht="27.5" customHeight="1">
      <c r="A2828" s="19" t="s">
        <v>7595</v>
      </c>
      <c r="B2828" s="19" t="s">
        <v>7606</v>
      </c>
      <c r="C2828" s="204" t="s">
        <v>24</v>
      </c>
      <c r="D2828" s="204" t="s">
        <v>1242</v>
      </c>
      <c r="E2828" s="204" t="s">
        <v>3209</v>
      </c>
      <c r="F2828" s="152" t="s">
        <v>2276</v>
      </c>
      <c r="G2828" s="152" t="s">
        <v>2276</v>
      </c>
      <c r="H2828" s="204" t="s">
        <v>523</v>
      </c>
      <c r="I2828" s="11">
        <v>2008</v>
      </c>
      <c r="J2828" s="204" t="s">
        <v>2276</v>
      </c>
      <c r="K2828" s="204" t="s">
        <v>2276</v>
      </c>
      <c r="L2828" s="204" t="s">
        <v>2276</v>
      </c>
      <c r="M2828" s="204" t="s">
        <v>2276</v>
      </c>
      <c r="N2828" s="204" t="s">
        <v>2276</v>
      </c>
      <c r="O2828" s="204" t="s">
        <v>2276</v>
      </c>
      <c r="P2828" s="204" t="s">
        <v>2276</v>
      </c>
      <c r="Q2828" s="204" t="s">
        <v>2276</v>
      </c>
      <c r="R2828" s="204" t="s">
        <v>2276</v>
      </c>
      <c r="S2828" s="204" t="s">
        <v>2276</v>
      </c>
      <c r="T2828" s="21">
        <v>60</v>
      </c>
      <c r="U2828" s="204" t="s">
        <v>2276</v>
      </c>
      <c r="V2828" s="204" t="s">
        <v>2276</v>
      </c>
      <c r="W2828" s="204" t="s">
        <v>2276</v>
      </c>
      <c r="X2828" s="218">
        <f>T2828/'Record info'!K$1146</f>
        <v>2.5965033754543881E-3</v>
      </c>
      <c r="Y2828" s="204" t="s">
        <v>2276</v>
      </c>
      <c r="Z2828" s="204" t="s">
        <v>188</v>
      </c>
      <c r="AA2828" s="204" t="s">
        <v>189</v>
      </c>
      <c r="AB2828" s="204" t="s">
        <v>64</v>
      </c>
      <c r="AC2828" s="204"/>
      <c r="AD2828" s="204"/>
    </row>
    <row r="2829" spans="1:30" ht="27.5" customHeight="1">
      <c r="A2829" s="19" t="s">
        <v>7595</v>
      </c>
      <c r="B2829" s="19" t="s">
        <v>7607</v>
      </c>
      <c r="C2829" s="204" t="s">
        <v>24</v>
      </c>
      <c r="D2829" s="204" t="s">
        <v>1242</v>
      </c>
      <c r="E2829" s="204" t="s">
        <v>3209</v>
      </c>
      <c r="F2829" s="152" t="s">
        <v>2276</v>
      </c>
      <c r="G2829" s="152" t="s">
        <v>2276</v>
      </c>
      <c r="H2829" s="204" t="s">
        <v>523</v>
      </c>
      <c r="I2829" s="11">
        <v>2009</v>
      </c>
      <c r="J2829" s="204" t="s">
        <v>2276</v>
      </c>
      <c r="K2829" s="204" t="s">
        <v>2276</v>
      </c>
      <c r="L2829" s="204" t="s">
        <v>2276</v>
      </c>
      <c r="M2829" s="204" t="s">
        <v>2276</v>
      </c>
      <c r="N2829" s="204" t="s">
        <v>2276</v>
      </c>
      <c r="O2829" s="204" t="s">
        <v>2276</v>
      </c>
      <c r="P2829" s="204" t="s">
        <v>2276</v>
      </c>
      <c r="Q2829" s="204" t="s">
        <v>2276</v>
      </c>
      <c r="R2829" s="204" t="s">
        <v>2276</v>
      </c>
      <c r="S2829" s="204" t="s">
        <v>2276</v>
      </c>
      <c r="T2829" s="21">
        <v>15</v>
      </c>
      <c r="U2829" s="204" t="s">
        <v>2276</v>
      </c>
      <c r="V2829" s="204" t="s">
        <v>2276</v>
      </c>
      <c r="W2829" s="204" t="s">
        <v>2276</v>
      </c>
      <c r="X2829" s="218">
        <f>T2829/'Record info'!K$1146</f>
        <v>6.4912584386359702E-4</v>
      </c>
      <c r="Y2829" s="204" t="s">
        <v>2276</v>
      </c>
      <c r="Z2829" s="204" t="s">
        <v>188</v>
      </c>
      <c r="AA2829" s="204" t="s">
        <v>189</v>
      </c>
      <c r="AB2829" s="204" t="s">
        <v>64</v>
      </c>
      <c r="AC2829" s="204"/>
      <c r="AD2829" s="204"/>
    </row>
    <row r="2830" spans="1:30" ht="27.5" customHeight="1">
      <c r="A2830" s="19" t="s">
        <v>7595</v>
      </c>
      <c r="B2830" s="19" t="s">
        <v>7608</v>
      </c>
      <c r="C2830" s="204" t="s">
        <v>24</v>
      </c>
      <c r="D2830" s="204" t="s">
        <v>1242</v>
      </c>
      <c r="E2830" s="204" t="s">
        <v>3209</v>
      </c>
      <c r="F2830" s="152" t="s">
        <v>2276</v>
      </c>
      <c r="G2830" s="152" t="s">
        <v>2276</v>
      </c>
      <c r="H2830" s="204" t="s">
        <v>523</v>
      </c>
      <c r="I2830" s="11">
        <v>2010</v>
      </c>
      <c r="J2830" s="204" t="s">
        <v>2276</v>
      </c>
      <c r="K2830" s="204" t="s">
        <v>2276</v>
      </c>
      <c r="L2830" s="204" t="s">
        <v>2276</v>
      </c>
      <c r="M2830" s="204" t="s">
        <v>2276</v>
      </c>
      <c r="N2830" s="204" t="s">
        <v>2276</v>
      </c>
      <c r="O2830" s="204" t="s">
        <v>2276</v>
      </c>
      <c r="P2830" s="204" t="s">
        <v>2276</v>
      </c>
      <c r="Q2830" s="204" t="s">
        <v>2276</v>
      </c>
      <c r="R2830" s="204" t="s">
        <v>2276</v>
      </c>
      <c r="S2830" s="204" t="s">
        <v>2276</v>
      </c>
      <c r="T2830" s="21">
        <v>20</v>
      </c>
      <c r="U2830" s="204" t="s">
        <v>2276</v>
      </c>
      <c r="V2830" s="204" t="s">
        <v>2276</v>
      </c>
      <c r="W2830" s="204" t="s">
        <v>2276</v>
      </c>
      <c r="X2830" s="218">
        <f>T2830/'Record info'!K$1146</f>
        <v>8.6550112515146273E-4</v>
      </c>
      <c r="Y2830" s="204" t="s">
        <v>2276</v>
      </c>
      <c r="Z2830" s="204" t="s">
        <v>188</v>
      </c>
      <c r="AA2830" s="204" t="s">
        <v>189</v>
      </c>
      <c r="AB2830" s="204" t="s">
        <v>64</v>
      </c>
      <c r="AC2830" s="204"/>
      <c r="AD2830" s="204"/>
    </row>
    <row r="2831" spans="1:30" ht="27.5" customHeight="1">
      <c r="A2831" s="19" t="s">
        <v>7595</v>
      </c>
      <c r="B2831" s="19" t="s">
        <v>7609</v>
      </c>
      <c r="C2831" s="204" t="s">
        <v>24</v>
      </c>
      <c r="D2831" s="204" t="s">
        <v>1242</v>
      </c>
      <c r="E2831" s="204" t="s">
        <v>3209</v>
      </c>
      <c r="F2831" s="152" t="s">
        <v>2276</v>
      </c>
      <c r="G2831" s="152" t="s">
        <v>2276</v>
      </c>
      <c r="H2831" s="204" t="s">
        <v>523</v>
      </c>
      <c r="I2831" s="11">
        <v>2011</v>
      </c>
      <c r="J2831" s="204" t="s">
        <v>2276</v>
      </c>
      <c r="K2831" s="204" t="s">
        <v>2276</v>
      </c>
      <c r="L2831" s="204" t="s">
        <v>2276</v>
      </c>
      <c r="M2831" s="204" t="s">
        <v>2276</v>
      </c>
      <c r="N2831" s="204" t="s">
        <v>2276</v>
      </c>
      <c r="O2831" s="204" t="s">
        <v>2276</v>
      </c>
      <c r="P2831" s="204" t="s">
        <v>2276</v>
      </c>
      <c r="Q2831" s="204" t="s">
        <v>2276</v>
      </c>
      <c r="R2831" s="204" t="s">
        <v>2276</v>
      </c>
      <c r="S2831" s="204" t="s">
        <v>2276</v>
      </c>
      <c r="T2831" s="21">
        <v>70</v>
      </c>
      <c r="U2831" s="204" t="s">
        <v>2276</v>
      </c>
      <c r="V2831" s="204" t="s">
        <v>2276</v>
      </c>
      <c r="W2831" s="204" t="s">
        <v>2276</v>
      </c>
      <c r="X2831" s="218">
        <f>T2831/'Record info'!K$1146</f>
        <v>3.0292539380301193E-3</v>
      </c>
      <c r="Y2831" s="204" t="s">
        <v>2276</v>
      </c>
      <c r="Z2831" s="204" t="s">
        <v>188</v>
      </c>
      <c r="AA2831" s="204" t="s">
        <v>189</v>
      </c>
      <c r="AB2831" s="204" t="s">
        <v>64</v>
      </c>
      <c r="AC2831" s="204"/>
      <c r="AD2831" s="204"/>
    </row>
    <row r="2832" spans="1:30" ht="27.5" customHeight="1">
      <c r="A2832" s="19" t="s">
        <v>7595</v>
      </c>
      <c r="B2832" s="19" t="s">
        <v>7610</v>
      </c>
      <c r="C2832" s="204" t="s">
        <v>24</v>
      </c>
      <c r="D2832" s="204" t="s">
        <v>1242</v>
      </c>
      <c r="E2832" s="204" t="s">
        <v>3209</v>
      </c>
      <c r="F2832" s="152" t="s">
        <v>2276</v>
      </c>
      <c r="G2832" s="152" t="s">
        <v>2276</v>
      </c>
      <c r="H2832" s="204" t="s">
        <v>523</v>
      </c>
      <c r="I2832" s="11">
        <v>2012</v>
      </c>
      <c r="J2832" s="204" t="s">
        <v>2276</v>
      </c>
      <c r="K2832" s="204" t="s">
        <v>2276</v>
      </c>
      <c r="L2832" s="204" t="s">
        <v>2276</v>
      </c>
      <c r="M2832" s="204" t="s">
        <v>2276</v>
      </c>
      <c r="N2832" s="204" t="s">
        <v>2276</v>
      </c>
      <c r="O2832" s="204" t="s">
        <v>2276</v>
      </c>
      <c r="P2832" s="204" t="s">
        <v>2276</v>
      </c>
      <c r="Q2832" s="204" t="s">
        <v>2276</v>
      </c>
      <c r="R2832" s="204" t="s">
        <v>2276</v>
      </c>
      <c r="S2832" s="204" t="s">
        <v>2276</v>
      </c>
      <c r="T2832" s="21">
        <v>80</v>
      </c>
      <c r="U2832" s="204" t="s">
        <v>2276</v>
      </c>
      <c r="V2832" s="204" t="s">
        <v>2276</v>
      </c>
      <c r="W2832" s="204" t="s">
        <v>2276</v>
      </c>
      <c r="X2832" s="218">
        <f>T2832/'Record info'!K$1146</f>
        <v>3.4620045006058509E-3</v>
      </c>
      <c r="Y2832" s="204" t="s">
        <v>2276</v>
      </c>
      <c r="Z2832" s="204" t="s">
        <v>188</v>
      </c>
      <c r="AA2832" s="204" t="s">
        <v>189</v>
      </c>
      <c r="AB2832" s="204" t="s">
        <v>64</v>
      </c>
      <c r="AC2832" s="204"/>
      <c r="AD2832" s="204"/>
    </row>
    <row r="2833" spans="1:30" ht="27.5" customHeight="1">
      <c r="A2833" s="19" t="s">
        <v>7595</v>
      </c>
      <c r="B2833" s="19" t="s">
        <v>7611</v>
      </c>
      <c r="C2833" s="204" t="s">
        <v>24</v>
      </c>
      <c r="D2833" s="204" t="s">
        <v>1242</v>
      </c>
      <c r="E2833" s="204" t="s">
        <v>3209</v>
      </c>
      <c r="F2833" s="152" t="s">
        <v>2276</v>
      </c>
      <c r="G2833" s="152" t="s">
        <v>2276</v>
      </c>
      <c r="H2833" s="204" t="s">
        <v>523</v>
      </c>
      <c r="I2833" s="11">
        <v>2013</v>
      </c>
      <c r="J2833" s="204" t="s">
        <v>2276</v>
      </c>
      <c r="K2833" s="204" t="s">
        <v>2276</v>
      </c>
      <c r="L2833" s="204" t="s">
        <v>2276</v>
      </c>
      <c r="M2833" s="204" t="s">
        <v>2276</v>
      </c>
      <c r="N2833" s="204" t="s">
        <v>2276</v>
      </c>
      <c r="O2833" s="204" t="s">
        <v>2276</v>
      </c>
      <c r="P2833" s="204" t="s">
        <v>2276</v>
      </c>
      <c r="Q2833" s="204" t="s">
        <v>2276</v>
      </c>
      <c r="R2833" s="204" t="s">
        <v>2276</v>
      </c>
      <c r="S2833" s="204" t="s">
        <v>2276</v>
      </c>
      <c r="T2833" s="21">
        <v>75</v>
      </c>
      <c r="U2833" s="204" t="s">
        <v>2276</v>
      </c>
      <c r="V2833" s="204" t="s">
        <v>2276</v>
      </c>
      <c r="W2833" s="204" t="s">
        <v>2276</v>
      </c>
      <c r="X2833" s="218">
        <f>T2833/'Record info'!K$1146</f>
        <v>3.2456292193179851E-3</v>
      </c>
      <c r="Y2833" s="204" t="s">
        <v>2276</v>
      </c>
      <c r="Z2833" s="204" t="s">
        <v>188</v>
      </c>
      <c r="AA2833" s="204" t="s">
        <v>189</v>
      </c>
      <c r="AB2833" s="204" t="s">
        <v>64</v>
      </c>
      <c r="AC2833" s="204"/>
      <c r="AD2833" s="204"/>
    </row>
    <row r="2834" spans="1:30" ht="27.5" customHeight="1">
      <c r="A2834" s="19" t="s">
        <v>7595</v>
      </c>
      <c r="B2834" s="19" t="s">
        <v>7612</v>
      </c>
      <c r="C2834" s="204" t="s">
        <v>24</v>
      </c>
      <c r="D2834" s="204" t="s">
        <v>1242</v>
      </c>
      <c r="E2834" s="204" t="s">
        <v>3209</v>
      </c>
      <c r="F2834" s="152" t="s">
        <v>2276</v>
      </c>
      <c r="G2834" s="152" t="s">
        <v>2276</v>
      </c>
      <c r="H2834" s="204" t="s">
        <v>523</v>
      </c>
      <c r="I2834" s="11">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v>80</v>
      </c>
      <c r="U2834" s="204" t="s">
        <v>2276</v>
      </c>
      <c r="V2834" s="204" t="s">
        <v>2276</v>
      </c>
      <c r="W2834" s="204" t="s">
        <v>2276</v>
      </c>
      <c r="X2834" s="218">
        <f>T2834/'Record info'!K$1146</f>
        <v>3.4620045006058509E-3</v>
      </c>
      <c r="Y2834" s="204" t="s">
        <v>2276</v>
      </c>
      <c r="Z2834" s="204" t="s">
        <v>188</v>
      </c>
      <c r="AA2834" s="204" t="s">
        <v>189</v>
      </c>
      <c r="AB2834" s="204" t="s">
        <v>64</v>
      </c>
      <c r="AC2834" s="204"/>
      <c r="AD2834" s="204"/>
    </row>
    <row r="2835" spans="1:30" ht="27.5" customHeight="1">
      <c r="A2835" s="19" t="s">
        <v>7595</v>
      </c>
      <c r="B2835" s="19" t="s">
        <v>7613</v>
      </c>
      <c r="C2835" s="204" t="s">
        <v>24</v>
      </c>
      <c r="D2835" s="204" t="s">
        <v>1242</v>
      </c>
      <c r="E2835" s="204" t="s">
        <v>3209</v>
      </c>
      <c r="F2835" s="152" t="s">
        <v>2276</v>
      </c>
      <c r="G2835" s="152" t="s">
        <v>2276</v>
      </c>
      <c r="H2835" s="204" t="s">
        <v>523</v>
      </c>
      <c r="I2835" s="11">
        <v>2015</v>
      </c>
      <c r="J2835" s="204" t="s">
        <v>2276</v>
      </c>
      <c r="K2835" s="204" t="s">
        <v>2276</v>
      </c>
      <c r="L2835" s="204" t="s">
        <v>2276</v>
      </c>
      <c r="M2835" s="204" t="s">
        <v>2276</v>
      </c>
      <c r="N2835" s="204" t="s">
        <v>2276</v>
      </c>
      <c r="O2835" s="204" t="s">
        <v>2276</v>
      </c>
      <c r="P2835" s="204" t="s">
        <v>2276</v>
      </c>
      <c r="Q2835" s="204" t="s">
        <v>2276</v>
      </c>
      <c r="R2835" s="204" t="s">
        <v>2276</v>
      </c>
      <c r="S2835" s="204" t="s">
        <v>2276</v>
      </c>
      <c r="T2835" s="21">
        <v>84</v>
      </c>
      <c r="U2835" s="204" t="s">
        <v>2276</v>
      </c>
      <c r="V2835" s="204" t="s">
        <v>2276</v>
      </c>
      <c r="W2835" s="204" t="s">
        <v>2276</v>
      </c>
      <c r="X2835" s="218">
        <f>T2835/'Record info'!K$1146</f>
        <v>3.6351047256361433E-3</v>
      </c>
      <c r="Y2835" s="204" t="s">
        <v>2276</v>
      </c>
      <c r="Z2835" s="204" t="s">
        <v>188</v>
      </c>
      <c r="AA2835" s="204" t="s">
        <v>189</v>
      </c>
      <c r="AB2835" s="204" t="s">
        <v>64</v>
      </c>
      <c r="AC2835" s="204"/>
      <c r="AD2835" s="204"/>
    </row>
    <row r="2836" spans="1:30" ht="32" customHeight="1">
      <c r="A2836" s="19" t="s">
        <v>7617</v>
      </c>
      <c r="B2836" s="19" t="s">
        <v>7618</v>
      </c>
      <c r="C2836" s="204" t="s">
        <v>24</v>
      </c>
      <c r="D2836" s="204" t="s">
        <v>1242</v>
      </c>
      <c r="E2836" s="204" t="s">
        <v>3209</v>
      </c>
      <c r="F2836" s="152" t="s">
        <v>2276</v>
      </c>
      <c r="G2836" s="152" t="s">
        <v>2276</v>
      </c>
      <c r="H2836" s="204" t="s">
        <v>523</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1">
        <v>50</v>
      </c>
      <c r="U2836" s="204" t="s">
        <v>2276</v>
      </c>
      <c r="V2836" s="204" t="s">
        <v>2276</v>
      </c>
      <c r="W2836" s="204" t="s">
        <v>2276</v>
      </c>
      <c r="X2836" s="21">
        <f>T2836/'Record info'!K1147</f>
        <v>1.6592663387956383E-4</v>
      </c>
      <c r="Y2836" s="204" t="s">
        <v>2276</v>
      </c>
      <c r="Z2836" s="204" t="s">
        <v>68</v>
      </c>
      <c r="AA2836" s="204" t="s">
        <v>189</v>
      </c>
      <c r="AB2836" s="204" t="s">
        <v>64</v>
      </c>
      <c r="AC2836" s="204"/>
      <c r="AD2836" s="204"/>
    </row>
    <row r="2837" spans="1:30" ht="37.5" customHeight="1">
      <c r="A2837" s="19" t="s">
        <v>7595</v>
      </c>
      <c r="B2837" s="19" t="s">
        <v>7619</v>
      </c>
      <c r="C2837" s="11" t="s">
        <v>24</v>
      </c>
      <c r="D2837" s="11" t="s">
        <v>1242</v>
      </c>
      <c r="E2837" s="11" t="s">
        <v>3209</v>
      </c>
      <c r="F2837" s="19" t="s">
        <v>2662</v>
      </c>
      <c r="G2837" s="19" t="s">
        <v>2662</v>
      </c>
      <c r="H2837" s="11" t="s">
        <v>523</v>
      </c>
      <c r="I2837" s="11"/>
      <c r="J2837" s="11" t="s">
        <v>2276</v>
      </c>
      <c r="K2837" s="11" t="s">
        <v>2276</v>
      </c>
      <c r="L2837" s="11" t="s">
        <v>2276</v>
      </c>
      <c r="M2837" s="11" t="s">
        <v>2276</v>
      </c>
      <c r="N2837" s="74">
        <v>67</v>
      </c>
      <c r="O2837" s="11" t="s">
        <v>2276</v>
      </c>
      <c r="P2837" s="74">
        <v>5.35</v>
      </c>
      <c r="Q2837" s="11" t="s">
        <v>2276</v>
      </c>
      <c r="R2837" s="11" t="s">
        <v>2276</v>
      </c>
      <c r="S2837" s="11" t="s">
        <v>2276</v>
      </c>
      <c r="T2837" s="11" t="s">
        <v>2276</v>
      </c>
      <c r="U2837" s="11" t="s">
        <v>2276</v>
      </c>
      <c r="V2837" s="11" t="s">
        <v>2276</v>
      </c>
      <c r="W2837" s="11" t="s">
        <v>2276</v>
      </c>
      <c r="X2837" s="11" t="s">
        <v>2276</v>
      </c>
      <c r="Y2837" s="11" t="s">
        <v>2276</v>
      </c>
      <c r="Z2837" s="204" t="s">
        <v>188</v>
      </c>
      <c r="AA2837" s="204" t="s">
        <v>189</v>
      </c>
      <c r="AB2837" s="204" t="s">
        <v>64</v>
      </c>
      <c r="AC2837" s="19" t="s">
        <v>7630</v>
      </c>
      <c r="AD2837" s="11"/>
    </row>
    <row r="2838" spans="1:30" s="203" customFormat="1" ht="31" customHeight="1">
      <c r="A2838" s="19" t="s">
        <v>7595</v>
      </c>
      <c r="B2838" s="19" t="s">
        <v>7627</v>
      </c>
      <c r="C2838" s="11" t="s">
        <v>24</v>
      </c>
      <c r="D2838" s="11" t="s">
        <v>1242</v>
      </c>
      <c r="E2838" s="11" t="s">
        <v>3209</v>
      </c>
      <c r="F2838" s="19" t="s">
        <v>74</v>
      </c>
      <c r="G2838" s="19" t="s">
        <v>74</v>
      </c>
      <c r="H2838" s="11" t="s">
        <v>523</v>
      </c>
      <c r="I2838" s="11"/>
      <c r="J2838" s="11" t="s">
        <v>2276</v>
      </c>
      <c r="K2838" s="11" t="s">
        <v>2276</v>
      </c>
      <c r="L2838" s="11" t="s">
        <v>2276</v>
      </c>
      <c r="M2838" s="11" t="s">
        <v>2276</v>
      </c>
      <c r="N2838" s="11" t="s">
        <v>2276</v>
      </c>
      <c r="O2838" s="11" t="s">
        <v>2276</v>
      </c>
      <c r="P2838" s="74">
        <v>2.13</v>
      </c>
      <c r="Q2838" s="11" t="s">
        <v>2276</v>
      </c>
      <c r="R2838" s="11" t="s">
        <v>2276</v>
      </c>
      <c r="S2838" s="11" t="s">
        <v>2276</v>
      </c>
      <c r="T2838" s="11" t="s">
        <v>2276</v>
      </c>
      <c r="U2838" s="11" t="s">
        <v>2276</v>
      </c>
      <c r="V2838" s="11" t="s">
        <v>2276</v>
      </c>
      <c r="W2838" s="11" t="s">
        <v>2276</v>
      </c>
      <c r="X2838" s="11" t="s">
        <v>2276</v>
      </c>
      <c r="Y2838" s="11" t="s">
        <v>2276</v>
      </c>
      <c r="Z2838" s="204" t="s">
        <v>188</v>
      </c>
      <c r="AA2838" s="204" t="s">
        <v>189</v>
      </c>
      <c r="AB2838" s="204" t="s">
        <v>64</v>
      </c>
      <c r="AC2838" s="19" t="s">
        <v>7630</v>
      </c>
      <c r="AD2838" s="11"/>
    </row>
    <row r="2839" spans="1:30" ht="39" customHeight="1">
      <c r="A2839" s="19" t="s">
        <v>7620</v>
      </c>
      <c r="B2839" s="19" t="s">
        <v>7622</v>
      </c>
      <c r="C2839" s="204" t="s">
        <v>24</v>
      </c>
      <c r="D2839" s="204" t="s">
        <v>1242</v>
      </c>
      <c r="E2839" s="204" t="s">
        <v>3209</v>
      </c>
      <c r="F2839" s="4" t="s">
        <v>74</v>
      </c>
      <c r="G2839" s="4" t="s">
        <v>74</v>
      </c>
      <c r="H2839" s="204" t="s">
        <v>523</v>
      </c>
      <c r="I2839" s="204"/>
      <c r="J2839" s="204" t="s">
        <v>2276</v>
      </c>
      <c r="K2839" s="204" t="s">
        <v>2276</v>
      </c>
      <c r="L2839" s="204" t="s">
        <v>2276</v>
      </c>
      <c r="M2839" s="204" t="s">
        <v>2276</v>
      </c>
      <c r="N2839" s="21">
        <v>146</v>
      </c>
      <c r="O2839" s="204" t="s">
        <v>2276</v>
      </c>
      <c r="P2839" s="21">
        <v>8.1999999999999993</v>
      </c>
      <c r="Q2839" s="204" t="s">
        <v>2276</v>
      </c>
      <c r="R2839" s="204" t="s">
        <v>2276</v>
      </c>
      <c r="S2839" s="204" t="s">
        <v>2276</v>
      </c>
      <c r="T2839" s="204" t="s">
        <v>2276</v>
      </c>
      <c r="U2839" s="204" t="s">
        <v>2276</v>
      </c>
      <c r="V2839" s="204" t="s">
        <v>2276</v>
      </c>
      <c r="W2839" s="204" t="s">
        <v>2276</v>
      </c>
      <c r="X2839" s="204" t="s">
        <v>2276</v>
      </c>
      <c r="Y2839" s="204" t="s">
        <v>2276</v>
      </c>
      <c r="Z2839" s="204" t="s">
        <v>68</v>
      </c>
      <c r="AA2839" s="204" t="s">
        <v>86</v>
      </c>
      <c r="AB2839" s="204" t="s">
        <v>76</v>
      </c>
      <c r="AC2839" s="4" t="s">
        <v>7629</v>
      </c>
      <c r="AD2839" s="204"/>
    </row>
    <row r="2840" spans="1:30" ht="31" customHeight="1">
      <c r="A2840" s="19" t="s">
        <v>7621</v>
      </c>
      <c r="B2840" s="19" t="s">
        <v>7623</v>
      </c>
      <c r="C2840" s="204" t="s">
        <v>24</v>
      </c>
      <c r="D2840" s="204" t="s">
        <v>1242</v>
      </c>
      <c r="E2840" s="204" t="s">
        <v>3209</v>
      </c>
      <c r="F2840" s="4" t="s">
        <v>74</v>
      </c>
      <c r="G2840" s="4" t="s">
        <v>74</v>
      </c>
      <c r="H2840" s="204" t="s">
        <v>523</v>
      </c>
      <c r="I2840" s="204"/>
      <c r="J2840" s="204" t="s">
        <v>2276</v>
      </c>
      <c r="K2840" s="204" t="s">
        <v>2276</v>
      </c>
      <c r="L2840" s="204" t="s">
        <v>2276</v>
      </c>
      <c r="M2840" s="204" t="s">
        <v>2276</v>
      </c>
      <c r="N2840" s="21">
        <v>179</v>
      </c>
      <c r="O2840" s="204" t="s">
        <v>2276</v>
      </c>
      <c r="P2840" s="21">
        <v>11.54</v>
      </c>
      <c r="Q2840" s="204" t="s">
        <v>2276</v>
      </c>
      <c r="R2840" s="204" t="s">
        <v>2276</v>
      </c>
      <c r="S2840" s="204" t="s">
        <v>2276</v>
      </c>
      <c r="T2840" s="204" t="s">
        <v>2276</v>
      </c>
      <c r="U2840" s="204" t="s">
        <v>2276</v>
      </c>
      <c r="V2840" s="204" t="s">
        <v>2276</v>
      </c>
      <c r="W2840" s="204" t="s">
        <v>2276</v>
      </c>
      <c r="X2840" s="204" t="s">
        <v>2276</v>
      </c>
      <c r="Y2840" s="204" t="s">
        <v>2276</v>
      </c>
      <c r="Z2840" s="204" t="s">
        <v>35</v>
      </c>
      <c r="AA2840" s="204" t="s">
        <v>38</v>
      </c>
      <c r="AB2840" s="204" t="s">
        <v>64</v>
      </c>
      <c r="AC2840" s="204" t="s">
        <v>7628</v>
      </c>
      <c r="AD2840" s="204"/>
    </row>
    <row r="2841" spans="1:30" ht="41" customHeight="1">
      <c r="A2841" s="19" t="s">
        <v>7621</v>
      </c>
      <c r="B2841" s="19" t="s">
        <v>7626</v>
      </c>
      <c r="C2841" s="204" t="s">
        <v>24</v>
      </c>
      <c r="D2841" s="204" t="s">
        <v>1242</v>
      </c>
      <c r="E2841" s="204" t="s">
        <v>3209</v>
      </c>
      <c r="F2841" s="4" t="s">
        <v>2662</v>
      </c>
      <c r="G2841" s="4" t="s">
        <v>2662</v>
      </c>
      <c r="H2841" s="204" t="s">
        <v>523</v>
      </c>
      <c r="I2841" s="204"/>
      <c r="J2841" s="204" t="s">
        <v>2276</v>
      </c>
      <c r="K2841" s="204" t="s">
        <v>2276</v>
      </c>
      <c r="L2841" s="204" t="s">
        <v>2276</v>
      </c>
      <c r="M2841" s="204" t="s">
        <v>2276</v>
      </c>
      <c r="N2841" s="204" t="s">
        <v>2276</v>
      </c>
      <c r="O2841" s="204" t="s">
        <v>2276</v>
      </c>
      <c r="P2841" s="21">
        <v>4.93</v>
      </c>
      <c r="Q2841" s="204" t="s">
        <v>2276</v>
      </c>
      <c r="R2841" s="204" t="s">
        <v>2276</v>
      </c>
      <c r="S2841" s="204" t="s">
        <v>2276</v>
      </c>
      <c r="T2841" s="204" t="s">
        <v>2276</v>
      </c>
      <c r="U2841" s="204" t="s">
        <v>2276</v>
      </c>
      <c r="V2841" s="204" t="s">
        <v>2276</v>
      </c>
      <c r="W2841" s="204" t="s">
        <v>2276</v>
      </c>
      <c r="X2841" s="204" t="s">
        <v>2276</v>
      </c>
      <c r="Y2841" s="204" t="s">
        <v>2276</v>
      </c>
      <c r="Z2841" s="204" t="s">
        <v>68</v>
      </c>
      <c r="AA2841" s="204" t="s">
        <v>86</v>
      </c>
      <c r="AB2841" s="204" t="s">
        <v>76</v>
      </c>
      <c r="AC2841" s="4" t="s">
        <v>7629</v>
      </c>
      <c r="AD2841" s="204"/>
    </row>
    <row r="2842" spans="1:30" ht="43.5" customHeight="1">
      <c r="A2842" s="19" t="s">
        <v>7620</v>
      </c>
      <c r="B2842" s="19" t="s">
        <v>7624</v>
      </c>
      <c r="C2842" s="204" t="s">
        <v>24</v>
      </c>
      <c r="D2842" s="204" t="s">
        <v>1242</v>
      </c>
      <c r="E2842" s="204" t="s">
        <v>3209</v>
      </c>
      <c r="F2842" s="4" t="s">
        <v>2662</v>
      </c>
      <c r="G2842" s="4" t="s">
        <v>2662</v>
      </c>
      <c r="H2842" s="204" t="s">
        <v>523</v>
      </c>
      <c r="I2842" s="204"/>
      <c r="J2842" s="204" t="s">
        <v>2276</v>
      </c>
      <c r="K2842" s="204" t="s">
        <v>2276</v>
      </c>
      <c r="L2842" s="204" t="s">
        <v>2276</v>
      </c>
      <c r="M2842" s="204" t="s">
        <v>2276</v>
      </c>
      <c r="N2842" s="204" t="s">
        <v>2276</v>
      </c>
      <c r="O2842" s="204" t="s">
        <v>2276</v>
      </c>
      <c r="P2842" s="21">
        <v>5.23</v>
      </c>
      <c r="Q2842" s="204" t="s">
        <v>2276</v>
      </c>
      <c r="R2842" s="204" t="s">
        <v>2276</v>
      </c>
      <c r="S2842" s="204" t="s">
        <v>2276</v>
      </c>
      <c r="T2842" s="204" t="s">
        <v>2276</v>
      </c>
      <c r="U2842" s="204" t="s">
        <v>2276</v>
      </c>
      <c r="V2842" s="204" t="s">
        <v>2276</v>
      </c>
      <c r="W2842" s="204" t="s">
        <v>2276</v>
      </c>
      <c r="X2842" s="204" t="s">
        <v>2276</v>
      </c>
      <c r="Y2842" s="204" t="s">
        <v>2276</v>
      </c>
      <c r="Z2842" s="204" t="s">
        <v>35</v>
      </c>
      <c r="AA2842" s="204" t="s">
        <v>38</v>
      </c>
      <c r="AB2842" s="204" t="s">
        <v>64</v>
      </c>
      <c r="AC2842" s="204" t="s">
        <v>7628</v>
      </c>
      <c r="AD2842" s="204"/>
    </row>
    <row r="2843" spans="1:30" ht="38.5" customHeight="1">
      <c r="A2843" s="19" t="s">
        <v>7644</v>
      </c>
      <c r="B2843" s="19" t="s">
        <v>7780</v>
      </c>
      <c r="C2843" s="204" t="s">
        <v>24</v>
      </c>
      <c r="D2843" s="204" t="s">
        <v>1242</v>
      </c>
      <c r="E2843" s="204" t="s">
        <v>3209</v>
      </c>
      <c r="F2843" s="4" t="s">
        <v>2662</v>
      </c>
      <c r="G2843" s="4" t="s">
        <v>2662</v>
      </c>
      <c r="H2843" s="204" t="s">
        <v>523</v>
      </c>
      <c r="I2843" s="11"/>
      <c r="J2843" s="204" t="s">
        <v>2276</v>
      </c>
      <c r="K2843" s="204" t="s">
        <v>2276</v>
      </c>
      <c r="L2843" s="204" t="s">
        <v>2276</v>
      </c>
      <c r="M2843" s="204" t="s">
        <v>2276</v>
      </c>
      <c r="N2843" s="204" t="s">
        <v>2276</v>
      </c>
      <c r="O2843" s="204" t="s">
        <v>2276</v>
      </c>
      <c r="P2843" s="74">
        <v>34.51</v>
      </c>
      <c r="Q2843" s="204" t="s">
        <v>2276</v>
      </c>
      <c r="R2843" s="204" t="s">
        <v>2276</v>
      </c>
      <c r="S2843" s="204" t="s">
        <v>2276</v>
      </c>
      <c r="T2843" s="74">
        <f>1631087/13</f>
        <v>125468.23076923077</v>
      </c>
      <c r="U2843" s="204" t="s">
        <v>2276</v>
      </c>
      <c r="V2843" s="204" t="s">
        <v>2276</v>
      </c>
      <c r="W2843" s="204" t="s">
        <v>2276</v>
      </c>
      <c r="X2843" s="74">
        <f>T2843/'Record info'!K$1150</f>
        <v>1.6371240241719318E-3</v>
      </c>
      <c r="Y2843" s="204" t="s">
        <v>2276</v>
      </c>
      <c r="Z2843" s="204" t="s">
        <v>2276</v>
      </c>
      <c r="AA2843" s="204" t="s">
        <v>2276</v>
      </c>
      <c r="AB2843" s="204" t="s">
        <v>2276</v>
      </c>
      <c r="AC2843" s="11" t="s">
        <v>7782</v>
      </c>
      <c r="AD2843" s="11"/>
    </row>
    <row r="2844" spans="1:30" ht="37.5" customHeight="1">
      <c r="A2844" s="19" t="s">
        <v>7644</v>
      </c>
      <c r="B2844" s="19" t="s">
        <v>7781</v>
      </c>
      <c r="C2844" s="204" t="s">
        <v>24</v>
      </c>
      <c r="D2844" s="204" t="s">
        <v>1242</v>
      </c>
      <c r="E2844" s="204" t="s">
        <v>3209</v>
      </c>
      <c r="F2844" s="4" t="s">
        <v>74</v>
      </c>
      <c r="G2844" s="4" t="s">
        <v>74</v>
      </c>
      <c r="H2844" s="204" t="s">
        <v>523</v>
      </c>
      <c r="I2844" s="103"/>
      <c r="J2844" s="204" t="s">
        <v>2276</v>
      </c>
      <c r="K2844" s="204" t="s">
        <v>2276</v>
      </c>
      <c r="L2844" s="204" t="s">
        <v>2276</v>
      </c>
      <c r="M2844" s="204" t="s">
        <v>2276</v>
      </c>
      <c r="N2844" s="204" t="s">
        <v>2276</v>
      </c>
      <c r="O2844" s="204" t="s">
        <v>2276</v>
      </c>
      <c r="P2844" s="74">
        <v>11.42</v>
      </c>
      <c r="Q2844" s="204" t="s">
        <v>2276</v>
      </c>
      <c r="R2844" s="204" t="s">
        <v>2276</v>
      </c>
      <c r="S2844" s="204" t="s">
        <v>2276</v>
      </c>
      <c r="T2844" s="74">
        <f>107311/13</f>
        <v>8254.6923076923085</v>
      </c>
      <c r="U2844" s="204" t="s">
        <v>2276</v>
      </c>
      <c r="V2844" s="204" t="s">
        <v>2276</v>
      </c>
      <c r="W2844" s="204" t="s">
        <v>2276</v>
      </c>
      <c r="X2844" s="74">
        <f>T2844/'Record info'!K$1150</f>
        <v>1.0770818243166318E-4</v>
      </c>
      <c r="Y2844" s="204" t="s">
        <v>2276</v>
      </c>
      <c r="Z2844" s="204" t="s">
        <v>2276</v>
      </c>
      <c r="AA2844" s="204" t="s">
        <v>2276</v>
      </c>
      <c r="AB2844" s="204" t="s">
        <v>2276</v>
      </c>
      <c r="AC2844" s="11" t="s">
        <v>7783</v>
      </c>
      <c r="AD2844" s="11"/>
    </row>
    <row r="2845" spans="1:30" ht="33.5" customHeight="1">
      <c r="A2845" s="19" t="s">
        <v>7645</v>
      </c>
      <c r="B2845" s="204" t="s">
        <v>7786</v>
      </c>
      <c r="C2845" s="204" t="s">
        <v>24</v>
      </c>
      <c r="D2845" s="204" t="s">
        <v>1242</v>
      </c>
      <c r="E2845" s="204" t="s">
        <v>3209</v>
      </c>
      <c r="F2845" s="4" t="s">
        <v>2276</v>
      </c>
      <c r="G2845" s="4" t="s">
        <v>2276</v>
      </c>
      <c r="H2845" s="204" t="s">
        <v>523</v>
      </c>
      <c r="I2845" s="103"/>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2276</v>
      </c>
      <c r="Y2845" s="204" t="s">
        <v>2276</v>
      </c>
      <c r="Z2845" s="204" t="s">
        <v>2276</v>
      </c>
      <c r="AA2845" s="204" t="s">
        <v>2276</v>
      </c>
      <c r="AB2845" s="204" t="s">
        <v>2276</v>
      </c>
      <c r="AC2845" s="204"/>
      <c r="AD2845" s="204"/>
    </row>
    <row r="2846" spans="1:30" ht="33.5" customHeight="1">
      <c r="A2846" s="19" t="s">
        <v>7646</v>
      </c>
      <c r="B2846" s="204" t="s">
        <v>7787</v>
      </c>
      <c r="C2846" s="204" t="s">
        <v>24</v>
      </c>
      <c r="D2846" s="204" t="s">
        <v>1242</v>
      </c>
      <c r="E2846" s="204" t="s">
        <v>3209</v>
      </c>
      <c r="F2846" s="4" t="s">
        <v>2276</v>
      </c>
      <c r="G2846" s="4" t="s">
        <v>2276</v>
      </c>
      <c r="H2846" s="204" t="s">
        <v>523</v>
      </c>
      <c r="I2846" s="103"/>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2276</v>
      </c>
      <c r="Y2846" s="204" t="s">
        <v>2276</v>
      </c>
      <c r="Z2846" s="204" t="s">
        <v>2276</v>
      </c>
      <c r="AA2846" s="204" t="s">
        <v>2276</v>
      </c>
      <c r="AB2846" s="204" t="s">
        <v>2276</v>
      </c>
      <c r="AC2846" s="204"/>
      <c r="AD2846" s="204"/>
    </row>
    <row r="2847" spans="1:30" ht="33.5" customHeight="1">
      <c r="A2847" s="19" t="s">
        <v>7647</v>
      </c>
      <c r="B2847" s="204" t="s">
        <v>7788</v>
      </c>
      <c r="C2847" s="204" t="s">
        <v>24</v>
      </c>
      <c r="D2847" s="204" t="s">
        <v>1242</v>
      </c>
      <c r="E2847" s="204" t="s">
        <v>3209</v>
      </c>
      <c r="F2847" s="4" t="s">
        <v>2276</v>
      </c>
      <c r="G2847" s="4" t="s">
        <v>2276</v>
      </c>
      <c r="H2847" s="204" t="s">
        <v>523</v>
      </c>
      <c r="I2847" s="103"/>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2276</v>
      </c>
      <c r="Y2847" s="204" t="s">
        <v>2276</v>
      </c>
      <c r="Z2847" s="204" t="s">
        <v>2276</v>
      </c>
      <c r="AA2847" s="204" t="s">
        <v>2276</v>
      </c>
      <c r="AB2847" s="204" t="s">
        <v>2276</v>
      </c>
      <c r="AC2847" s="204"/>
      <c r="AD2847" s="204"/>
    </row>
    <row r="2848" spans="1:30" ht="33.5" customHeight="1">
      <c r="A2848" s="19" t="s">
        <v>7648</v>
      </c>
      <c r="B2848" s="204" t="s">
        <v>7789</v>
      </c>
      <c r="C2848" s="204" t="s">
        <v>24</v>
      </c>
      <c r="D2848" s="204" t="s">
        <v>1242</v>
      </c>
      <c r="E2848" s="204" t="s">
        <v>3209</v>
      </c>
      <c r="F2848" s="4" t="s">
        <v>2276</v>
      </c>
      <c r="G2848" s="4" t="s">
        <v>2276</v>
      </c>
      <c r="H2848" s="204" t="s">
        <v>523</v>
      </c>
      <c r="I2848" s="103"/>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2276</v>
      </c>
      <c r="Y2848" s="204" t="s">
        <v>2276</v>
      </c>
      <c r="Z2848" s="204" t="s">
        <v>2276</v>
      </c>
      <c r="AA2848" s="204" t="s">
        <v>2276</v>
      </c>
      <c r="AB2848" s="204" t="s">
        <v>2276</v>
      </c>
      <c r="AC2848" s="204"/>
      <c r="AD2848" s="204"/>
    </row>
    <row r="2849" spans="1:30" ht="33.5" customHeight="1">
      <c r="A2849" s="19" t="s">
        <v>7649</v>
      </c>
      <c r="B2849" s="204" t="s">
        <v>7790</v>
      </c>
      <c r="C2849" s="204" t="s">
        <v>24</v>
      </c>
      <c r="D2849" s="204" t="s">
        <v>1242</v>
      </c>
      <c r="E2849" s="204" t="s">
        <v>3209</v>
      </c>
      <c r="F2849" s="4" t="s">
        <v>2276</v>
      </c>
      <c r="G2849" s="4" t="s">
        <v>2276</v>
      </c>
      <c r="H2849" s="204" t="s">
        <v>523</v>
      </c>
      <c r="I2849" s="103"/>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2276</v>
      </c>
      <c r="Y2849" s="204" t="s">
        <v>2276</v>
      </c>
      <c r="Z2849" s="204" t="s">
        <v>2276</v>
      </c>
      <c r="AA2849" s="204" t="s">
        <v>2276</v>
      </c>
      <c r="AB2849" s="204" t="s">
        <v>2276</v>
      </c>
      <c r="AC2849" s="204"/>
      <c r="AD2849" s="204"/>
    </row>
    <row r="2850" spans="1:30" ht="33.5" customHeight="1">
      <c r="A2850" s="19" t="s">
        <v>7650</v>
      </c>
      <c r="B2850" s="204" t="s">
        <v>7791</v>
      </c>
      <c r="C2850" s="204" t="s">
        <v>24</v>
      </c>
      <c r="D2850" s="204" t="s">
        <v>1242</v>
      </c>
      <c r="E2850" s="204" t="s">
        <v>3209</v>
      </c>
      <c r="F2850" s="4" t="s">
        <v>2276</v>
      </c>
      <c r="G2850" s="4" t="s">
        <v>2276</v>
      </c>
      <c r="H2850" s="204" t="s">
        <v>523</v>
      </c>
      <c r="I2850" s="103"/>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2276</v>
      </c>
      <c r="Y2850" s="204" t="s">
        <v>2276</v>
      </c>
      <c r="Z2850" s="204" t="s">
        <v>2276</v>
      </c>
      <c r="AA2850" s="204" t="s">
        <v>2276</v>
      </c>
      <c r="AB2850" s="204" t="s">
        <v>2276</v>
      </c>
      <c r="AC2850" s="204"/>
      <c r="AD2850" s="204"/>
    </row>
    <row r="2851" spans="1:30" ht="33.5" customHeight="1">
      <c r="A2851" s="19" t="s">
        <v>7651</v>
      </c>
      <c r="B2851" s="204" t="s">
        <v>7792</v>
      </c>
      <c r="C2851" s="204" t="s">
        <v>24</v>
      </c>
      <c r="D2851" s="204" t="s">
        <v>1242</v>
      </c>
      <c r="E2851" s="204" t="s">
        <v>3209</v>
      </c>
      <c r="F2851" s="4" t="s">
        <v>2276</v>
      </c>
      <c r="G2851" s="4" t="s">
        <v>2276</v>
      </c>
      <c r="H2851" s="204" t="s">
        <v>523</v>
      </c>
      <c r="I2851" s="103"/>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2276</v>
      </c>
      <c r="Y2851" s="204" t="s">
        <v>2276</v>
      </c>
      <c r="Z2851" s="204" t="s">
        <v>2276</v>
      </c>
      <c r="AA2851" s="204" t="s">
        <v>2276</v>
      </c>
      <c r="AB2851" s="204" t="s">
        <v>2276</v>
      </c>
      <c r="AC2851" s="204"/>
      <c r="AD2851" s="204"/>
    </row>
    <row r="2852" spans="1:30" ht="33.5" customHeight="1">
      <c r="A2852" s="19" t="s">
        <v>7652</v>
      </c>
      <c r="B2852" s="204" t="s">
        <v>7793</v>
      </c>
      <c r="C2852" s="204" t="s">
        <v>24</v>
      </c>
      <c r="D2852" s="204" t="s">
        <v>1242</v>
      </c>
      <c r="E2852" s="204" t="s">
        <v>3209</v>
      </c>
      <c r="F2852" s="4" t="s">
        <v>2276</v>
      </c>
      <c r="G2852" s="4" t="s">
        <v>2276</v>
      </c>
      <c r="H2852" s="204" t="s">
        <v>523</v>
      </c>
      <c r="I2852" s="103"/>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2276</v>
      </c>
      <c r="Y2852" s="204" t="s">
        <v>2276</v>
      </c>
      <c r="Z2852" s="204" t="s">
        <v>2276</v>
      </c>
      <c r="AA2852" s="204" t="s">
        <v>2276</v>
      </c>
      <c r="AB2852" s="204" t="s">
        <v>2276</v>
      </c>
      <c r="AC2852" s="204"/>
      <c r="AD2852" s="204"/>
    </row>
    <row r="2853" spans="1:30" ht="33.5" customHeight="1">
      <c r="A2853" s="19" t="s">
        <v>7653</v>
      </c>
      <c r="B2853" s="204" t="s">
        <v>7794</v>
      </c>
      <c r="C2853" s="204" t="s">
        <v>24</v>
      </c>
      <c r="D2853" s="204" t="s">
        <v>1242</v>
      </c>
      <c r="E2853" s="204" t="s">
        <v>3209</v>
      </c>
      <c r="F2853" s="4" t="s">
        <v>2276</v>
      </c>
      <c r="G2853" s="4" t="s">
        <v>2276</v>
      </c>
      <c r="H2853" s="204" t="s">
        <v>523</v>
      </c>
      <c r="I2853" s="103"/>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2276</v>
      </c>
      <c r="Y2853" s="204" t="s">
        <v>2276</v>
      </c>
      <c r="Z2853" s="204" t="s">
        <v>2276</v>
      </c>
      <c r="AA2853" s="204" t="s">
        <v>2276</v>
      </c>
      <c r="AB2853" s="204" t="s">
        <v>2276</v>
      </c>
      <c r="AC2853" s="204"/>
      <c r="AD2853" s="204"/>
    </row>
    <row r="2854" spans="1:30" ht="33.5" customHeight="1">
      <c r="A2854" s="19" t="s">
        <v>7654</v>
      </c>
      <c r="B2854" s="204" t="s">
        <v>7795</v>
      </c>
      <c r="C2854" s="204" t="s">
        <v>24</v>
      </c>
      <c r="D2854" s="204" t="s">
        <v>1242</v>
      </c>
      <c r="E2854" s="204" t="s">
        <v>3209</v>
      </c>
      <c r="F2854" s="4" t="s">
        <v>2276</v>
      </c>
      <c r="G2854" s="4" t="s">
        <v>2276</v>
      </c>
      <c r="H2854" s="204" t="s">
        <v>523</v>
      </c>
      <c r="I2854" s="103"/>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2276</v>
      </c>
      <c r="Y2854" s="204" t="s">
        <v>2276</v>
      </c>
      <c r="Z2854" s="204" t="s">
        <v>2276</v>
      </c>
      <c r="AA2854" s="204" t="s">
        <v>2276</v>
      </c>
      <c r="AB2854" s="204" t="s">
        <v>2276</v>
      </c>
      <c r="AC2854" s="204"/>
      <c r="AD2854" s="204"/>
    </row>
    <row r="2855" spans="1:30" ht="33.5" customHeight="1">
      <c r="A2855" s="19" t="s">
        <v>7655</v>
      </c>
      <c r="B2855" s="204" t="s">
        <v>7796</v>
      </c>
      <c r="C2855" s="204" t="s">
        <v>24</v>
      </c>
      <c r="D2855" s="204" t="s">
        <v>1242</v>
      </c>
      <c r="E2855" s="204" t="s">
        <v>3209</v>
      </c>
      <c r="F2855" s="4" t="s">
        <v>2276</v>
      </c>
      <c r="G2855" s="4" t="s">
        <v>2276</v>
      </c>
      <c r="H2855" s="204" t="s">
        <v>523</v>
      </c>
      <c r="I2855" s="103"/>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2276</v>
      </c>
      <c r="Y2855" s="204" t="s">
        <v>2276</v>
      </c>
      <c r="Z2855" s="204" t="s">
        <v>2276</v>
      </c>
      <c r="AA2855" s="204" t="s">
        <v>2276</v>
      </c>
      <c r="AB2855" s="204" t="s">
        <v>2276</v>
      </c>
      <c r="AC2855" s="204"/>
      <c r="AD2855" s="204"/>
    </row>
    <row r="2856" spans="1:30" ht="33.5" customHeight="1">
      <c r="A2856" s="19" t="s">
        <v>7656</v>
      </c>
      <c r="B2856" s="204" t="s">
        <v>7797</v>
      </c>
      <c r="C2856" s="204" t="s">
        <v>24</v>
      </c>
      <c r="D2856" s="204" t="s">
        <v>1242</v>
      </c>
      <c r="E2856" s="204" t="s">
        <v>3209</v>
      </c>
      <c r="F2856" s="4" t="s">
        <v>2276</v>
      </c>
      <c r="G2856" s="4" t="s">
        <v>2276</v>
      </c>
      <c r="H2856" s="204" t="s">
        <v>523</v>
      </c>
      <c r="I2856" s="103"/>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2276</v>
      </c>
      <c r="Y2856" s="204" t="s">
        <v>2276</v>
      </c>
      <c r="Z2856" s="204" t="s">
        <v>2276</v>
      </c>
      <c r="AA2856" s="204" t="s">
        <v>2276</v>
      </c>
      <c r="AB2856" s="204" t="s">
        <v>2276</v>
      </c>
      <c r="AC2856" s="204"/>
      <c r="AD2856" s="204"/>
    </row>
    <row r="2857" spans="1:30" ht="33.5" customHeight="1">
      <c r="A2857" s="19" t="s">
        <v>7657</v>
      </c>
      <c r="B2857" s="204" t="s">
        <v>7798</v>
      </c>
      <c r="C2857" s="204" t="s">
        <v>24</v>
      </c>
      <c r="D2857" s="204" t="s">
        <v>1242</v>
      </c>
      <c r="E2857" s="204" t="s">
        <v>3209</v>
      </c>
      <c r="F2857" s="4" t="s">
        <v>2276</v>
      </c>
      <c r="G2857" s="4" t="s">
        <v>2276</v>
      </c>
      <c r="H2857" s="204" t="s">
        <v>523</v>
      </c>
      <c r="I2857" s="103"/>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2276</v>
      </c>
      <c r="Y2857" s="204" t="s">
        <v>2276</v>
      </c>
      <c r="Z2857" s="204" t="s">
        <v>2276</v>
      </c>
      <c r="AA2857" s="204" t="s">
        <v>2276</v>
      </c>
      <c r="AB2857" s="204" t="s">
        <v>2276</v>
      </c>
      <c r="AC2857" s="204"/>
      <c r="AD2857" s="204"/>
    </row>
    <row r="2858" spans="1:30" ht="33.5" customHeight="1">
      <c r="A2858" s="19" t="s">
        <v>7658</v>
      </c>
      <c r="B2858" s="204" t="s">
        <v>7799</v>
      </c>
      <c r="C2858" s="204" t="s">
        <v>24</v>
      </c>
      <c r="D2858" s="204" t="s">
        <v>1242</v>
      </c>
      <c r="E2858" s="204" t="s">
        <v>3209</v>
      </c>
      <c r="F2858" s="4" t="s">
        <v>2276</v>
      </c>
      <c r="G2858" s="4" t="s">
        <v>2276</v>
      </c>
      <c r="H2858" s="204" t="s">
        <v>523</v>
      </c>
      <c r="I2858" s="103"/>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2276</v>
      </c>
      <c r="Y2858" s="204" t="s">
        <v>2276</v>
      </c>
      <c r="Z2858" s="204" t="s">
        <v>2276</v>
      </c>
      <c r="AA2858" s="204" t="s">
        <v>2276</v>
      </c>
      <c r="AB2858" s="204" t="s">
        <v>2276</v>
      </c>
      <c r="AC2858" s="204"/>
      <c r="AD2858" s="204"/>
    </row>
    <row r="2859" spans="1:30" ht="33.5" customHeight="1">
      <c r="A2859" s="19" t="s">
        <v>7659</v>
      </c>
      <c r="B2859" s="204" t="s">
        <v>7800</v>
      </c>
      <c r="C2859" s="204" t="s">
        <v>24</v>
      </c>
      <c r="D2859" s="204" t="s">
        <v>1242</v>
      </c>
      <c r="E2859" s="204" t="s">
        <v>3209</v>
      </c>
      <c r="F2859" s="4" t="s">
        <v>2276</v>
      </c>
      <c r="G2859" s="4" t="s">
        <v>2276</v>
      </c>
      <c r="H2859" s="204" t="s">
        <v>523</v>
      </c>
      <c r="I2859" s="103"/>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2276</v>
      </c>
      <c r="Y2859" s="204" t="s">
        <v>2276</v>
      </c>
      <c r="Z2859" s="204" t="s">
        <v>2276</v>
      </c>
      <c r="AA2859" s="204" t="s">
        <v>2276</v>
      </c>
      <c r="AB2859" s="204" t="s">
        <v>2276</v>
      </c>
      <c r="AC2859" s="204"/>
      <c r="AD2859" s="204"/>
    </row>
    <row r="2860" spans="1:30" ht="33.5" customHeight="1">
      <c r="A2860" s="19" t="s">
        <v>7660</v>
      </c>
      <c r="B2860" s="204" t="s">
        <v>7801</v>
      </c>
      <c r="C2860" s="204" t="s">
        <v>24</v>
      </c>
      <c r="D2860" s="204" t="s">
        <v>1242</v>
      </c>
      <c r="E2860" s="204" t="s">
        <v>3209</v>
      </c>
      <c r="F2860" s="4" t="s">
        <v>2276</v>
      </c>
      <c r="G2860" s="4" t="s">
        <v>2276</v>
      </c>
      <c r="H2860" s="204" t="s">
        <v>523</v>
      </c>
      <c r="I2860" s="103"/>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2276</v>
      </c>
      <c r="Y2860" s="204" t="s">
        <v>2276</v>
      </c>
      <c r="Z2860" s="204" t="s">
        <v>2276</v>
      </c>
      <c r="AA2860" s="204" t="s">
        <v>2276</v>
      </c>
      <c r="AB2860" s="204" t="s">
        <v>2276</v>
      </c>
      <c r="AC2860" s="204"/>
      <c r="AD2860" s="204"/>
    </row>
    <row r="2861" spans="1:30" ht="33.5" customHeight="1">
      <c r="A2861" s="19" t="s">
        <v>7661</v>
      </c>
      <c r="B2861" s="204" t="s">
        <v>7802</v>
      </c>
      <c r="C2861" s="204" t="s">
        <v>24</v>
      </c>
      <c r="D2861" s="204" t="s">
        <v>1242</v>
      </c>
      <c r="E2861" s="204" t="s">
        <v>3209</v>
      </c>
      <c r="F2861" s="4" t="s">
        <v>2276</v>
      </c>
      <c r="G2861" s="4" t="s">
        <v>2276</v>
      </c>
      <c r="H2861" s="204" t="s">
        <v>523</v>
      </c>
      <c r="I2861" s="103"/>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2276</v>
      </c>
      <c r="Y2861" s="204" t="s">
        <v>2276</v>
      </c>
      <c r="Z2861" s="204" t="s">
        <v>2276</v>
      </c>
      <c r="AA2861" s="204" t="s">
        <v>2276</v>
      </c>
      <c r="AB2861" s="204" t="s">
        <v>2276</v>
      </c>
      <c r="AC2861" s="204"/>
      <c r="AD2861" s="204"/>
    </row>
    <row r="2862" spans="1:30" ht="33.5" customHeight="1">
      <c r="A2862" s="19" t="s">
        <v>7662</v>
      </c>
      <c r="B2862" s="204" t="s">
        <v>7803</v>
      </c>
      <c r="C2862" s="204" t="s">
        <v>24</v>
      </c>
      <c r="D2862" s="204" t="s">
        <v>1242</v>
      </c>
      <c r="E2862" s="204" t="s">
        <v>3209</v>
      </c>
      <c r="F2862" s="4" t="s">
        <v>2276</v>
      </c>
      <c r="G2862" s="4" t="s">
        <v>2276</v>
      </c>
      <c r="H2862" s="204" t="s">
        <v>523</v>
      </c>
      <c r="I2862" s="103"/>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2276</v>
      </c>
      <c r="Y2862" s="204" t="s">
        <v>2276</v>
      </c>
      <c r="Z2862" s="204" t="s">
        <v>2276</v>
      </c>
      <c r="AA2862" s="204" t="s">
        <v>2276</v>
      </c>
      <c r="AB2862" s="204" t="s">
        <v>2276</v>
      </c>
      <c r="AC2862" s="204"/>
      <c r="AD2862" s="204"/>
    </row>
    <row r="2863" spans="1:30" ht="33.5" customHeight="1">
      <c r="A2863" s="19" t="s">
        <v>7663</v>
      </c>
      <c r="B2863" s="204" t="s">
        <v>7804</v>
      </c>
      <c r="C2863" s="204" t="s">
        <v>24</v>
      </c>
      <c r="D2863" s="204" t="s">
        <v>1242</v>
      </c>
      <c r="E2863" s="204" t="s">
        <v>3209</v>
      </c>
      <c r="F2863" s="4" t="s">
        <v>2276</v>
      </c>
      <c r="G2863" s="4" t="s">
        <v>2276</v>
      </c>
      <c r="H2863" s="204" t="s">
        <v>523</v>
      </c>
      <c r="I2863" s="103"/>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2276</v>
      </c>
      <c r="Y2863" s="204" t="s">
        <v>2276</v>
      </c>
      <c r="Z2863" s="204" t="s">
        <v>2276</v>
      </c>
      <c r="AA2863" s="204" t="s">
        <v>2276</v>
      </c>
      <c r="AB2863" s="204" t="s">
        <v>2276</v>
      </c>
      <c r="AC2863" s="204"/>
      <c r="AD2863" s="204"/>
    </row>
    <row r="2864" spans="1:30" ht="33.5" customHeight="1">
      <c r="A2864" s="19" t="s">
        <v>7664</v>
      </c>
      <c r="B2864" s="204" t="s">
        <v>7805</v>
      </c>
      <c r="C2864" s="204" t="s">
        <v>24</v>
      </c>
      <c r="D2864" s="204" t="s">
        <v>1242</v>
      </c>
      <c r="E2864" s="204" t="s">
        <v>3209</v>
      </c>
      <c r="F2864" s="4" t="s">
        <v>2276</v>
      </c>
      <c r="G2864" s="4" t="s">
        <v>2276</v>
      </c>
      <c r="H2864" s="204" t="s">
        <v>523</v>
      </c>
      <c r="I2864" s="103"/>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2276</v>
      </c>
      <c r="Y2864" s="204" t="s">
        <v>2276</v>
      </c>
      <c r="Z2864" s="204" t="s">
        <v>2276</v>
      </c>
      <c r="AA2864" s="204" t="s">
        <v>2276</v>
      </c>
      <c r="AB2864" s="204" t="s">
        <v>2276</v>
      </c>
      <c r="AC2864" s="204"/>
      <c r="AD2864" s="204"/>
    </row>
    <row r="2865" spans="1:30" ht="33.5" customHeight="1">
      <c r="A2865" s="19" t="s">
        <v>7665</v>
      </c>
      <c r="B2865" s="204" t="s">
        <v>7806</v>
      </c>
      <c r="C2865" s="204" t="s">
        <v>24</v>
      </c>
      <c r="D2865" s="204" t="s">
        <v>1242</v>
      </c>
      <c r="E2865" s="204" t="s">
        <v>3209</v>
      </c>
      <c r="F2865" s="4" t="s">
        <v>2276</v>
      </c>
      <c r="G2865" s="4" t="s">
        <v>2276</v>
      </c>
      <c r="H2865" s="204" t="s">
        <v>523</v>
      </c>
      <c r="I2865" s="103"/>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2276</v>
      </c>
      <c r="Y2865" s="204" t="s">
        <v>2276</v>
      </c>
      <c r="Z2865" s="204" t="s">
        <v>2276</v>
      </c>
      <c r="AA2865" s="204" t="s">
        <v>2276</v>
      </c>
      <c r="AB2865" s="204" t="s">
        <v>2276</v>
      </c>
      <c r="AC2865" s="204"/>
      <c r="AD2865" s="204"/>
    </row>
    <row r="2866" spans="1:30" ht="33.5" customHeight="1">
      <c r="A2866" s="19" t="s">
        <v>7666</v>
      </c>
      <c r="B2866" s="204" t="s">
        <v>7807</v>
      </c>
      <c r="C2866" s="204" t="s">
        <v>24</v>
      </c>
      <c r="D2866" s="204" t="s">
        <v>1242</v>
      </c>
      <c r="E2866" s="204" t="s">
        <v>3209</v>
      </c>
      <c r="F2866" s="4" t="s">
        <v>2276</v>
      </c>
      <c r="G2866" s="4" t="s">
        <v>2276</v>
      </c>
      <c r="H2866" s="204" t="s">
        <v>523</v>
      </c>
      <c r="I2866" s="103"/>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2276</v>
      </c>
      <c r="Y2866" s="204" t="s">
        <v>2276</v>
      </c>
      <c r="Z2866" s="204" t="s">
        <v>2276</v>
      </c>
      <c r="AA2866" s="204" t="s">
        <v>2276</v>
      </c>
      <c r="AB2866" s="204" t="s">
        <v>2276</v>
      </c>
      <c r="AC2866" s="204"/>
      <c r="AD2866" s="204"/>
    </row>
    <row r="2867" spans="1:30" ht="33.5" customHeight="1">
      <c r="A2867" s="19" t="s">
        <v>7667</v>
      </c>
      <c r="B2867" s="204" t="s">
        <v>7808</v>
      </c>
      <c r="C2867" s="204" t="s">
        <v>24</v>
      </c>
      <c r="D2867" s="204" t="s">
        <v>1242</v>
      </c>
      <c r="E2867" s="204" t="s">
        <v>3209</v>
      </c>
      <c r="F2867" s="4" t="s">
        <v>2276</v>
      </c>
      <c r="G2867" s="4" t="s">
        <v>2276</v>
      </c>
      <c r="H2867" s="204" t="s">
        <v>523</v>
      </c>
      <c r="I2867" s="103"/>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2276</v>
      </c>
      <c r="Y2867" s="204" t="s">
        <v>2276</v>
      </c>
      <c r="Z2867" s="204" t="s">
        <v>2276</v>
      </c>
      <c r="AA2867" s="204" t="s">
        <v>2276</v>
      </c>
      <c r="AB2867" s="204" t="s">
        <v>2276</v>
      </c>
      <c r="AC2867" s="204"/>
      <c r="AD2867" s="204"/>
    </row>
    <row r="2868" spans="1:30" ht="33.5" customHeight="1">
      <c r="A2868" s="19" t="s">
        <v>7668</v>
      </c>
      <c r="B2868" s="204" t="s">
        <v>7809</v>
      </c>
      <c r="C2868" s="204" t="s">
        <v>24</v>
      </c>
      <c r="D2868" s="204" t="s">
        <v>1242</v>
      </c>
      <c r="E2868" s="204" t="s">
        <v>3209</v>
      </c>
      <c r="F2868" s="4" t="s">
        <v>2276</v>
      </c>
      <c r="G2868" s="4" t="s">
        <v>2276</v>
      </c>
      <c r="H2868" s="204" t="s">
        <v>523</v>
      </c>
      <c r="I2868" s="103"/>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2276</v>
      </c>
      <c r="Y2868" s="204" t="s">
        <v>2276</v>
      </c>
      <c r="Z2868" s="204" t="s">
        <v>2276</v>
      </c>
      <c r="AA2868" s="204" t="s">
        <v>2276</v>
      </c>
      <c r="AB2868" s="204" t="s">
        <v>2276</v>
      </c>
      <c r="AC2868" s="204"/>
      <c r="AD2868" s="204"/>
    </row>
    <row r="2869" spans="1:30" ht="33.5" customHeight="1">
      <c r="A2869" s="19" t="s">
        <v>7669</v>
      </c>
      <c r="B2869" s="204" t="s">
        <v>7810</v>
      </c>
      <c r="C2869" s="204" t="s">
        <v>24</v>
      </c>
      <c r="D2869" s="204" t="s">
        <v>1242</v>
      </c>
      <c r="E2869" s="204" t="s">
        <v>3209</v>
      </c>
      <c r="F2869" s="4" t="s">
        <v>2276</v>
      </c>
      <c r="G2869" s="4" t="s">
        <v>2276</v>
      </c>
      <c r="H2869" s="204" t="s">
        <v>523</v>
      </c>
      <c r="I2869" s="103"/>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2276</v>
      </c>
      <c r="Y2869" s="204" t="s">
        <v>2276</v>
      </c>
      <c r="Z2869" s="204" t="s">
        <v>2276</v>
      </c>
      <c r="AA2869" s="204" t="s">
        <v>2276</v>
      </c>
      <c r="AB2869" s="204" t="s">
        <v>2276</v>
      </c>
      <c r="AC2869" s="204"/>
      <c r="AD2869" s="204"/>
    </row>
    <row r="2870" spans="1:30" ht="33.5" customHeight="1">
      <c r="A2870" s="19" t="s">
        <v>7670</v>
      </c>
      <c r="B2870" s="204" t="s">
        <v>7811</v>
      </c>
      <c r="C2870" s="204" t="s">
        <v>24</v>
      </c>
      <c r="D2870" s="204" t="s">
        <v>1242</v>
      </c>
      <c r="E2870" s="204" t="s">
        <v>3209</v>
      </c>
      <c r="F2870" s="4" t="s">
        <v>2276</v>
      </c>
      <c r="G2870" s="4" t="s">
        <v>2276</v>
      </c>
      <c r="H2870" s="204" t="s">
        <v>523</v>
      </c>
      <c r="I2870" s="103"/>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2276</v>
      </c>
      <c r="Y2870" s="204" t="s">
        <v>2276</v>
      </c>
      <c r="Z2870" s="204" t="s">
        <v>2276</v>
      </c>
      <c r="AA2870" s="204" t="s">
        <v>2276</v>
      </c>
      <c r="AB2870" s="204" t="s">
        <v>2276</v>
      </c>
      <c r="AC2870" s="204"/>
      <c r="AD2870" s="204"/>
    </row>
    <row r="2871" spans="1:30" ht="33.5" customHeight="1">
      <c r="A2871" s="19" t="s">
        <v>7671</v>
      </c>
      <c r="B2871" s="204" t="s">
        <v>7812</v>
      </c>
      <c r="C2871" s="204" t="s">
        <v>24</v>
      </c>
      <c r="D2871" s="204" t="s">
        <v>1242</v>
      </c>
      <c r="E2871" s="204" t="s">
        <v>3209</v>
      </c>
      <c r="F2871" s="4" t="s">
        <v>2276</v>
      </c>
      <c r="G2871" s="4" t="s">
        <v>2276</v>
      </c>
      <c r="H2871" s="204" t="s">
        <v>523</v>
      </c>
      <c r="I2871" s="103"/>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2276</v>
      </c>
      <c r="Y2871" s="204" t="s">
        <v>2276</v>
      </c>
      <c r="Z2871" s="204" t="s">
        <v>2276</v>
      </c>
      <c r="AA2871" s="204" t="s">
        <v>2276</v>
      </c>
      <c r="AB2871" s="204" t="s">
        <v>2276</v>
      </c>
      <c r="AC2871" s="204"/>
      <c r="AD2871" s="204"/>
    </row>
    <row r="2872" spans="1:30" ht="33.5" customHeight="1">
      <c r="A2872" s="19" t="s">
        <v>7672</v>
      </c>
      <c r="B2872" s="204" t="s">
        <v>7813</v>
      </c>
      <c r="C2872" s="204" t="s">
        <v>24</v>
      </c>
      <c r="D2872" s="204" t="s">
        <v>1242</v>
      </c>
      <c r="E2872" s="204" t="s">
        <v>3209</v>
      </c>
      <c r="F2872" s="4" t="s">
        <v>2276</v>
      </c>
      <c r="G2872" s="4" t="s">
        <v>2276</v>
      </c>
      <c r="H2872" s="204" t="s">
        <v>523</v>
      </c>
      <c r="I2872" s="103"/>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2276</v>
      </c>
      <c r="Y2872" s="204" t="s">
        <v>2276</v>
      </c>
      <c r="Z2872" s="204" t="s">
        <v>2276</v>
      </c>
      <c r="AA2872" s="204" t="s">
        <v>2276</v>
      </c>
      <c r="AB2872" s="204" t="s">
        <v>2276</v>
      </c>
      <c r="AC2872" s="204"/>
      <c r="AD2872" s="204"/>
    </row>
    <row r="2873" spans="1:30" ht="33.5" customHeight="1">
      <c r="A2873" s="19" t="s">
        <v>7673</v>
      </c>
      <c r="B2873" s="204" t="s">
        <v>7814</v>
      </c>
      <c r="C2873" s="204" t="s">
        <v>24</v>
      </c>
      <c r="D2873" s="204" t="s">
        <v>1242</v>
      </c>
      <c r="E2873" s="204" t="s">
        <v>3209</v>
      </c>
      <c r="F2873" s="4" t="s">
        <v>2276</v>
      </c>
      <c r="G2873" s="4" t="s">
        <v>2276</v>
      </c>
      <c r="H2873" s="204" t="s">
        <v>523</v>
      </c>
      <c r="I2873" s="103"/>
      <c r="J2873" s="204" t="s">
        <v>2276</v>
      </c>
      <c r="K2873" s="204" t="s">
        <v>2276</v>
      </c>
      <c r="L2873" s="204" t="s">
        <v>2276</v>
      </c>
      <c r="M2873" s="204" t="s">
        <v>2276</v>
      </c>
      <c r="N2873" s="204" t="s">
        <v>2276</v>
      </c>
      <c r="O2873" s="204" t="s">
        <v>2276</v>
      </c>
      <c r="P2873" s="204" t="s">
        <v>2276</v>
      </c>
      <c r="Q2873" s="204" t="s">
        <v>2276</v>
      </c>
      <c r="R2873" s="204" t="s">
        <v>2276</v>
      </c>
      <c r="S2873" s="204" t="s">
        <v>2276</v>
      </c>
      <c r="T2873" s="204" t="s">
        <v>2276</v>
      </c>
      <c r="U2873" s="204" t="s">
        <v>2276</v>
      </c>
      <c r="V2873" s="204" t="s">
        <v>2276</v>
      </c>
      <c r="W2873" s="204" t="s">
        <v>2276</v>
      </c>
      <c r="X2873" s="204" t="s">
        <v>2276</v>
      </c>
      <c r="Y2873" s="204" t="s">
        <v>2276</v>
      </c>
      <c r="Z2873" s="204" t="s">
        <v>2276</v>
      </c>
      <c r="AA2873" s="204" t="s">
        <v>2276</v>
      </c>
      <c r="AB2873" s="204" t="s">
        <v>2276</v>
      </c>
      <c r="AC2873" s="204"/>
      <c r="AD2873" s="204"/>
    </row>
    <row r="2874" spans="1:30" ht="33.5" customHeight="1">
      <c r="A2874" s="19" t="s">
        <v>7674</v>
      </c>
      <c r="B2874" s="204" t="s">
        <v>7815</v>
      </c>
      <c r="C2874" s="204" t="s">
        <v>24</v>
      </c>
      <c r="D2874" s="204" t="s">
        <v>1242</v>
      </c>
      <c r="E2874" s="204" t="s">
        <v>3209</v>
      </c>
      <c r="F2874" s="4" t="s">
        <v>2276</v>
      </c>
      <c r="G2874" s="4" t="s">
        <v>2276</v>
      </c>
      <c r="H2874" s="204" t="s">
        <v>523</v>
      </c>
      <c r="I2874" s="103"/>
      <c r="J2874" s="204" t="s">
        <v>2276</v>
      </c>
      <c r="K2874" s="204" t="s">
        <v>2276</v>
      </c>
      <c r="L2874" s="204" t="s">
        <v>2276</v>
      </c>
      <c r="M2874" s="204" t="s">
        <v>2276</v>
      </c>
      <c r="N2874" s="204" t="s">
        <v>2276</v>
      </c>
      <c r="O2874" s="204" t="s">
        <v>2276</v>
      </c>
      <c r="P2874" s="204" t="s">
        <v>2276</v>
      </c>
      <c r="Q2874" s="204" t="s">
        <v>2276</v>
      </c>
      <c r="R2874" s="204" t="s">
        <v>2276</v>
      </c>
      <c r="S2874" s="204" t="s">
        <v>2276</v>
      </c>
      <c r="T2874" s="204" t="s">
        <v>2276</v>
      </c>
      <c r="U2874" s="204" t="s">
        <v>2276</v>
      </c>
      <c r="V2874" s="204" t="s">
        <v>2276</v>
      </c>
      <c r="W2874" s="204" t="s">
        <v>2276</v>
      </c>
      <c r="X2874" s="204" t="s">
        <v>2276</v>
      </c>
      <c r="Y2874" s="204" t="s">
        <v>2276</v>
      </c>
      <c r="Z2874" s="204" t="s">
        <v>2276</v>
      </c>
      <c r="AA2874" s="204" t="s">
        <v>2276</v>
      </c>
      <c r="AB2874" s="204" t="s">
        <v>2276</v>
      </c>
      <c r="AC2874" s="204"/>
      <c r="AD2874" s="204"/>
    </row>
    <row r="2875" spans="1:30" ht="33.5" customHeight="1">
      <c r="A2875" s="19" t="s">
        <v>7594</v>
      </c>
      <c r="B2875" s="204" t="s">
        <v>7816</v>
      </c>
      <c r="C2875" s="204" t="s">
        <v>24</v>
      </c>
      <c r="D2875" s="204" t="s">
        <v>1242</v>
      </c>
      <c r="E2875" s="204" t="s">
        <v>3209</v>
      </c>
      <c r="F2875" s="4" t="s">
        <v>2276</v>
      </c>
      <c r="G2875" s="4" t="s">
        <v>2276</v>
      </c>
      <c r="H2875" s="204" t="s">
        <v>523</v>
      </c>
      <c r="I2875" s="103"/>
      <c r="J2875" s="204" t="s">
        <v>2276</v>
      </c>
      <c r="K2875" s="204" t="s">
        <v>2276</v>
      </c>
      <c r="L2875" s="204" t="s">
        <v>2276</v>
      </c>
      <c r="M2875" s="204" t="s">
        <v>2276</v>
      </c>
      <c r="N2875" s="204" t="s">
        <v>2276</v>
      </c>
      <c r="O2875" s="204" t="s">
        <v>2276</v>
      </c>
      <c r="P2875" s="204" t="s">
        <v>2276</v>
      </c>
      <c r="Q2875" s="204" t="s">
        <v>2276</v>
      </c>
      <c r="R2875" s="204" t="s">
        <v>2276</v>
      </c>
      <c r="S2875" s="204" t="s">
        <v>2276</v>
      </c>
      <c r="T2875" s="204" t="s">
        <v>2276</v>
      </c>
      <c r="U2875" s="204" t="s">
        <v>2276</v>
      </c>
      <c r="V2875" s="204" t="s">
        <v>2276</v>
      </c>
      <c r="W2875" s="204" t="s">
        <v>2276</v>
      </c>
      <c r="X2875" s="204" t="s">
        <v>2276</v>
      </c>
      <c r="Y2875" s="204" t="s">
        <v>2276</v>
      </c>
      <c r="Z2875" s="204" t="s">
        <v>2276</v>
      </c>
      <c r="AA2875" s="204" t="s">
        <v>2276</v>
      </c>
      <c r="AB2875" s="204" t="s">
        <v>2276</v>
      </c>
      <c r="AC2875" s="204"/>
      <c r="AD2875" s="204"/>
    </row>
    <row r="2876" spans="1:30" ht="33.5" customHeight="1">
      <c r="A2876" s="19" t="s">
        <v>7615</v>
      </c>
      <c r="B2876" s="204" t="s">
        <v>7616</v>
      </c>
      <c r="C2876" s="204" t="s">
        <v>24</v>
      </c>
      <c r="D2876" s="204" t="s">
        <v>1242</v>
      </c>
      <c r="E2876" s="204" t="s">
        <v>3209</v>
      </c>
      <c r="F2876" s="4" t="s">
        <v>2276</v>
      </c>
      <c r="G2876" s="4" t="s">
        <v>2276</v>
      </c>
      <c r="H2876" s="204" t="s">
        <v>523</v>
      </c>
      <c r="I2876" s="103"/>
      <c r="J2876" s="204" t="s">
        <v>2276</v>
      </c>
      <c r="K2876" s="204" t="s">
        <v>2276</v>
      </c>
      <c r="L2876" s="204" t="s">
        <v>2276</v>
      </c>
      <c r="M2876" s="204" t="s">
        <v>2276</v>
      </c>
      <c r="N2876" s="204" t="s">
        <v>2276</v>
      </c>
      <c r="O2876" s="204" t="s">
        <v>2276</v>
      </c>
      <c r="P2876" s="204" t="s">
        <v>2276</v>
      </c>
      <c r="Q2876" s="204" t="s">
        <v>2276</v>
      </c>
      <c r="R2876" s="204" t="s">
        <v>2276</v>
      </c>
      <c r="S2876" s="204" t="s">
        <v>2276</v>
      </c>
      <c r="T2876" s="204" t="s">
        <v>2276</v>
      </c>
      <c r="U2876" s="204" t="s">
        <v>2276</v>
      </c>
      <c r="V2876" s="204" t="s">
        <v>2276</v>
      </c>
      <c r="W2876" s="204" t="s">
        <v>2276</v>
      </c>
      <c r="X2876" s="204" t="s">
        <v>2276</v>
      </c>
      <c r="Y2876" s="204" t="s">
        <v>2276</v>
      </c>
      <c r="Z2876" s="204" t="s">
        <v>2276</v>
      </c>
      <c r="AA2876" s="204" t="s">
        <v>2276</v>
      </c>
      <c r="AB2876" s="204" t="s">
        <v>2276</v>
      </c>
      <c r="AC2876" s="204"/>
      <c r="AD2876" s="204"/>
    </row>
    <row r="2877" spans="1:30" ht="33.5" customHeight="1">
      <c r="A2877" s="19" t="s">
        <v>7675</v>
      </c>
      <c r="B2877" s="204" t="s">
        <v>7817</v>
      </c>
      <c r="C2877" s="204" t="s">
        <v>24</v>
      </c>
      <c r="D2877" s="204" t="s">
        <v>1242</v>
      </c>
      <c r="E2877" s="204" t="s">
        <v>3209</v>
      </c>
      <c r="F2877" s="4" t="s">
        <v>2276</v>
      </c>
      <c r="G2877" s="4" t="s">
        <v>2276</v>
      </c>
      <c r="H2877" s="204" t="s">
        <v>523</v>
      </c>
      <c r="I2877" s="103"/>
      <c r="J2877" s="204" t="s">
        <v>2276</v>
      </c>
      <c r="K2877" s="204" t="s">
        <v>2276</v>
      </c>
      <c r="L2877" s="204" t="s">
        <v>2276</v>
      </c>
      <c r="M2877" s="204" t="s">
        <v>2276</v>
      </c>
      <c r="N2877" s="204" t="s">
        <v>2276</v>
      </c>
      <c r="O2877" s="204" t="s">
        <v>2276</v>
      </c>
      <c r="P2877" s="204" t="s">
        <v>2276</v>
      </c>
      <c r="Q2877" s="204" t="s">
        <v>2276</v>
      </c>
      <c r="R2877" s="204" t="s">
        <v>2276</v>
      </c>
      <c r="S2877" s="204" t="s">
        <v>2276</v>
      </c>
      <c r="T2877" s="204" t="s">
        <v>2276</v>
      </c>
      <c r="U2877" s="204" t="s">
        <v>2276</v>
      </c>
      <c r="V2877" s="204" t="s">
        <v>2276</v>
      </c>
      <c r="W2877" s="204" t="s">
        <v>2276</v>
      </c>
      <c r="X2877" s="204" t="s">
        <v>2276</v>
      </c>
      <c r="Y2877" s="204" t="s">
        <v>2276</v>
      </c>
      <c r="Z2877" s="204" t="s">
        <v>2276</v>
      </c>
      <c r="AA2877" s="204" t="s">
        <v>2276</v>
      </c>
      <c r="AB2877" s="204" t="s">
        <v>2276</v>
      </c>
      <c r="AC2877" s="204"/>
      <c r="AD2877" s="204"/>
    </row>
    <row r="2878" spans="1:30" ht="33.5" customHeight="1">
      <c r="A2878" s="19" t="s">
        <v>7676</v>
      </c>
      <c r="B2878" s="204" t="s">
        <v>7818</v>
      </c>
      <c r="C2878" s="204" t="s">
        <v>24</v>
      </c>
      <c r="D2878" s="204" t="s">
        <v>1242</v>
      </c>
      <c r="E2878" s="204" t="s">
        <v>3209</v>
      </c>
      <c r="F2878" s="4" t="s">
        <v>2276</v>
      </c>
      <c r="G2878" s="4" t="s">
        <v>2276</v>
      </c>
      <c r="H2878" s="204" t="s">
        <v>524</v>
      </c>
      <c r="I2878" s="103"/>
      <c r="J2878" s="21">
        <v>0</v>
      </c>
      <c r="K2878" s="21">
        <v>0</v>
      </c>
      <c r="L2878" s="21">
        <v>0</v>
      </c>
      <c r="M2878" s="21">
        <v>0</v>
      </c>
      <c r="N2878" s="21">
        <v>0</v>
      </c>
      <c r="O2878" s="21">
        <v>0</v>
      </c>
      <c r="P2878" s="21">
        <v>0</v>
      </c>
      <c r="Q2878" s="21">
        <v>0</v>
      </c>
      <c r="R2878" s="21">
        <v>0</v>
      </c>
      <c r="S2878" s="21">
        <v>0</v>
      </c>
      <c r="T2878" s="21">
        <v>0</v>
      </c>
      <c r="U2878" s="21">
        <v>0</v>
      </c>
      <c r="V2878" s="21">
        <v>0</v>
      </c>
      <c r="W2878" s="21">
        <v>0</v>
      </c>
      <c r="X2878" s="21">
        <v>0</v>
      </c>
      <c r="Y2878" s="21">
        <v>0</v>
      </c>
      <c r="Z2878" s="204" t="s">
        <v>2276</v>
      </c>
      <c r="AA2878" s="204" t="s">
        <v>2276</v>
      </c>
      <c r="AB2878" s="204" t="s">
        <v>2276</v>
      </c>
      <c r="AC2878" s="204"/>
      <c r="AD2878" s="204"/>
    </row>
    <row r="2879" spans="1:30" ht="33.5" customHeight="1">
      <c r="A2879" s="19" t="s">
        <v>7677</v>
      </c>
      <c r="B2879" s="204" t="s">
        <v>7819</v>
      </c>
      <c r="C2879" s="204" t="s">
        <v>24</v>
      </c>
      <c r="D2879" s="204" t="s">
        <v>1242</v>
      </c>
      <c r="E2879" s="204" t="s">
        <v>3209</v>
      </c>
      <c r="F2879" s="4" t="s">
        <v>2276</v>
      </c>
      <c r="G2879" s="4" t="s">
        <v>2276</v>
      </c>
      <c r="H2879" s="204" t="s">
        <v>523</v>
      </c>
      <c r="I2879" s="103"/>
      <c r="J2879" s="204" t="s">
        <v>2276</v>
      </c>
      <c r="K2879" s="204" t="s">
        <v>2276</v>
      </c>
      <c r="L2879" s="204" t="s">
        <v>2276</v>
      </c>
      <c r="M2879" s="204" t="s">
        <v>2276</v>
      </c>
      <c r="N2879" s="204" t="s">
        <v>2276</v>
      </c>
      <c r="O2879" s="204" t="s">
        <v>2276</v>
      </c>
      <c r="P2879" s="204" t="s">
        <v>2276</v>
      </c>
      <c r="Q2879" s="204" t="s">
        <v>2276</v>
      </c>
      <c r="R2879" s="204" t="s">
        <v>2276</v>
      </c>
      <c r="S2879" s="204" t="s">
        <v>2276</v>
      </c>
      <c r="T2879" s="204" t="s">
        <v>2276</v>
      </c>
      <c r="U2879" s="204" t="s">
        <v>2276</v>
      </c>
      <c r="V2879" s="204" t="s">
        <v>2276</v>
      </c>
      <c r="W2879" s="204" t="s">
        <v>2276</v>
      </c>
      <c r="X2879" s="204" t="s">
        <v>2276</v>
      </c>
      <c r="Y2879" s="204" t="s">
        <v>2276</v>
      </c>
      <c r="Z2879" s="204" t="s">
        <v>2276</v>
      </c>
      <c r="AA2879" s="204" t="s">
        <v>2276</v>
      </c>
      <c r="AB2879" s="204" t="s">
        <v>2276</v>
      </c>
      <c r="AC2879" s="204"/>
      <c r="AD2879" s="204"/>
    </row>
    <row r="2880" spans="1:30" ht="33.5" customHeight="1">
      <c r="A2880" s="19" t="s">
        <v>7678</v>
      </c>
      <c r="B2880" s="204" t="s">
        <v>7820</v>
      </c>
      <c r="C2880" s="204" t="s">
        <v>24</v>
      </c>
      <c r="D2880" s="204" t="s">
        <v>1242</v>
      </c>
      <c r="E2880" s="204" t="s">
        <v>3209</v>
      </c>
      <c r="F2880" s="4" t="s">
        <v>2276</v>
      </c>
      <c r="G2880" s="4" t="s">
        <v>2276</v>
      </c>
      <c r="H2880" s="204" t="s">
        <v>523</v>
      </c>
      <c r="I2880" s="103"/>
      <c r="J2880" s="204" t="s">
        <v>2276</v>
      </c>
      <c r="K2880" s="204" t="s">
        <v>2276</v>
      </c>
      <c r="L2880" s="204" t="s">
        <v>2276</v>
      </c>
      <c r="M2880" s="204" t="s">
        <v>2276</v>
      </c>
      <c r="N2880" s="204" t="s">
        <v>2276</v>
      </c>
      <c r="O2880" s="204" t="s">
        <v>2276</v>
      </c>
      <c r="P2880" s="204" t="s">
        <v>2276</v>
      </c>
      <c r="Q2880" s="204" t="s">
        <v>2276</v>
      </c>
      <c r="R2880" s="204" t="s">
        <v>2276</v>
      </c>
      <c r="S2880" s="204" t="s">
        <v>2276</v>
      </c>
      <c r="T2880" s="204" t="s">
        <v>2276</v>
      </c>
      <c r="U2880" s="204" t="s">
        <v>2276</v>
      </c>
      <c r="V2880" s="204" t="s">
        <v>2276</v>
      </c>
      <c r="W2880" s="204" t="s">
        <v>2276</v>
      </c>
      <c r="X2880" s="204" t="s">
        <v>2276</v>
      </c>
      <c r="Y2880" s="204" t="s">
        <v>2276</v>
      </c>
      <c r="Z2880" s="204" t="s">
        <v>2276</v>
      </c>
      <c r="AA2880" s="204" t="s">
        <v>2276</v>
      </c>
      <c r="AB2880" s="204" t="s">
        <v>2276</v>
      </c>
      <c r="AC2880" s="204"/>
      <c r="AD2880" s="204"/>
    </row>
    <row r="2881" spans="1:30" ht="33.5" customHeight="1">
      <c r="A2881" s="19" t="s">
        <v>7679</v>
      </c>
      <c r="B2881" s="204" t="s">
        <v>7821</v>
      </c>
      <c r="C2881" s="204" t="s">
        <v>24</v>
      </c>
      <c r="D2881" s="204" t="s">
        <v>1242</v>
      </c>
      <c r="E2881" s="204" t="s">
        <v>3209</v>
      </c>
      <c r="F2881" s="4" t="s">
        <v>2276</v>
      </c>
      <c r="G2881" s="4" t="s">
        <v>2276</v>
      </c>
      <c r="H2881" s="204" t="s">
        <v>523</v>
      </c>
      <c r="I2881" s="103"/>
      <c r="J2881" s="204" t="s">
        <v>2276</v>
      </c>
      <c r="K2881" s="204" t="s">
        <v>2276</v>
      </c>
      <c r="L2881" s="204" t="s">
        <v>2276</v>
      </c>
      <c r="M2881" s="204" t="s">
        <v>2276</v>
      </c>
      <c r="N2881" s="204" t="s">
        <v>2276</v>
      </c>
      <c r="O2881" s="204" t="s">
        <v>2276</v>
      </c>
      <c r="P2881" s="204" t="s">
        <v>2276</v>
      </c>
      <c r="Q2881" s="204" t="s">
        <v>2276</v>
      </c>
      <c r="R2881" s="204" t="s">
        <v>2276</v>
      </c>
      <c r="S2881" s="204" t="s">
        <v>2276</v>
      </c>
      <c r="T2881" s="204" t="s">
        <v>2276</v>
      </c>
      <c r="U2881" s="204" t="s">
        <v>2276</v>
      </c>
      <c r="V2881" s="204" t="s">
        <v>2276</v>
      </c>
      <c r="W2881" s="204" t="s">
        <v>2276</v>
      </c>
      <c r="X2881" s="204" t="s">
        <v>2276</v>
      </c>
      <c r="Y2881" s="204" t="s">
        <v>2276</v>
      </c>
      <c r="Z2881" s="204" t="s">
        <v>2276</v>
      </c>
      <c r="AA2881" s="204" t="s">
        <v>2276</v>
      </c>
      <c r="AB2881" s="204" t="s">
        <v>2276</v>
      </c>
      <c r="AC2881" s="204"/>
      <c r="AD2881" s="204"/>
    </row>
    <row r="2882" spans="1:30" ht="33.5" customHeight="1">
      <c r="A2882" s="19" t="s">
        <v>7680</v>
      </c>
      <c r="B2882" s="204" t="s">
        <v>7822</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7681</v>
      </c>
      <c r="B2883" s="204" t="s">
        <v>7823</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7682</v>
      </c>
      <c r="B2884" s="204" t="s">
        <v>7824</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7683</v>
      </c>
      <c r="B2885" s="204" t="s">
        <v>7825</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7684</v>
      </c>
      <c r="B2886" s="204" t="s">
        <v>7826</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7685</v>
      </c>
      <c r="B2887" s="204" t="s">
        <v>7827</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7686</v>
      </c>
      <c r="B2888" s="204" t="s">
        <v>7828</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7687</v>
      </c>
      <c r="B2889" s="204" t="s">
        <v>7829</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7688</v>
      </c>
      <c r="B2890" s="204" t="s">
        <v>7830</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7689</v>
      </c>
      <c r="B2891" s="204" t="s">
        <v>7831</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7690</v>
      </c>
      <c r="B2892" s="204" t="s">
        <v>7832</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7691</v>
      </c>
      <c r="B2893" s="204" t="s">
        <v>7833</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7692</v>
      </c>
      <c r="B2894" s="204" t="s">
        <v>7834</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7693</v>
      </c>
      <c r="B2895" s="204" t="s">
        <v>7835</v>
      </c>
      <c r="C2895" s="204" t="s">
        <v>24</v>
      </c>
      <c r="D2895" s="204" t="s">
        <v>1242</v>
      </c>
      <c r="E2895" s="204" t="s">
        <v>3209</v>
      </c>
      <c r="F2895" s="4" t="s">
        <v>2276</v>
      </c>
      <c r="G2895" s="4" t="s">
        <v>2276</v>
      </c>
      <c r="H2895" s="204" t="s">
        <v>524</v>
      </c>
      <c r="I2895" s="103"/>
      <c r="J2895" s="21">
        <v>0</v>
      </c>
      <c r="K2895" s="21">
        <v>0</v>
      </c>
      <c r="L2895" s="21">
        <v>0</v>
      </c>
      <c r="M2895" s="21">
        <v>0</v>
      </c>
      <c r="N2895" s="21">
        <v>0</v>
      </c>
      <c r="O2895" s="21">
        <v>0</v>
      </c>
      <c r="P2895" s="21">
        <v>0</v>
      </c>
      <c r="Q2895" s="21">
        <v>0</v>
      </c>
      <c r="R2895" s="21">
        <v>0</v>
      </c>
      <c r="S2895" s="21">
        <v>0</v>
      </c>
      <c r="T2895" s="21">
        <v>0</v>
      </c>
      <c r="U2895" s="21">
        <v>0</v>
      </c>
      <c r="V2895" s="21">
        <v>0</v>
      </c>
      <c r="W2895" s="21">
        <v>0</v>
      </c>
      <c r="X2895" s="21">
        <v>0</v>
      </c>
      <c r="Y2895" s="21">
        <v>0</v>
      </c>
      <c r="Z2895" s="204" t="s">
        <v>2276</v>
      </c>
      <c r="AA2895" s="204" t="s">
        <v>2276</v>
      </c>
      <c r="AB2895" s="204" t="s">
        <v>2276</v>
      </c>
      <c r="AC2895" s="204"/>
      <c r="AD2895" s="204"/>
    </row>
    <row r="2896" spans="1:30" ht="33.5" customHeight="1">
      <c r="A2896" s="19" t="s">
        <v>7761</v>
      </c>
      <c r="B2896" s="204" t="s">
        <v>7836</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7762</v>
      </c>
      <c r="B2897" s="204" t="s">
        <v>7837</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7763</v>
      </c>
      <c r="B2898" s="204" t="s">
        <v>7838</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7764</v>
      </c>
      <c r="B2899" s="204" t="s">
        <v>7839</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7765</v>
      </c>
      <c r="B2900" s="204" t="s">
        <v>7840</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7766</v>
      </c>
      <c r="B2901" s="204" t="s">
        <v>7841</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7767</v>
      </c>
      <c r="B2902" s="204" t="s">
        <v>7842</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7671</v>
      </c>
      <c r="B2903" s="204" t="s">
        <v>7812</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7768</v>
      </c>
      <c r="B2904" s="204" t="s">
        <v>7843</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7769</v>
      </c>
      <c r="B2905" s="204" t="s">
        <v>7844</v>
      </c>
      <c r="C2905" s="204" t="s">
        <v>24</v>
      </c>
      <c r="D2905" s="204" t="s">
        <v>1242</v>
      </c>
      <c r="E2905" s="204" t="s">
        <v>3209</v>
      </c>
      <c r="F2905" s="4" t="s">
        <v>2276</v>
      </c>
      <c r="G2905" s="4" t="s">
        <v>2276</v>
      </c>
      <c r="H2905" s="204" t="s">
        <v>524</v>
      </c>
      <c r="I2905" s="103"/>
      <c r="J2905" s="21">
        <v>0</v>
      </c>
      <c r="K2905" s="21">
        <v>0</v>
      </c>
      <c r="L2905" s="21">
        <v>0</v>
      </c>
      <c r="M2905" s="21">
        <v>0</v>
      </c>
      <c r="N2905" s="21">
        <v>0</v>
      </c>
      <c r="O2905" s="21">
        <v>0</v>
      </c>
      <c r="P2905" s="21">
        <v>0</v>
      </c>
      <c r="Q2905" s="21">
        <v>0</v>
      </c>
      <c r="R2905" s="21">
        <v>0</v>
      </c>
      <c r="S2905" s="21">
        <v>0</v>
      </c>
      <c r="T2905" s="21">
        <v>0</v>
      </c>
      <c r="U2905" s="21">
        <v>0</v>
      </c>
      <c r="V2905" s="21">
        <v>0</v>
      </c>
      <c r="W2905" s="21">
        <v>0</v>
      </c>
      <c r="X2905" s="21">
        <v>0</v>
      </c>
      <c r="Y2905" s="21">
        <v>0</v>
      </c>
      <c r="Z2905" s="204" t="s">
        <v>2276</v>
      </c>
      <c r="AA2905" s="204" t="s">
        <v>2276</v>
      </c>
      <c r="AB2905" s="204" t="s">
        <v>2276</v>
      </c>
      <c r="AC2905" s="204"/>
      <c r="AD2905" s="204"/>
    </row>
    <row r="2906" spans="1:30" ht="33.5" customHeight="1">
      <c r="A2906" s="19" t="s">
        <v>7770</v>
      </c>
      <c r="B2906" s="204" t="s">
        <v>7845</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7771</v>
      </c>
      <c r="B2907" s="204" t="s">
        <v>7846</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7772</v>
      </c>
      <c r="B2908" s="204" t="s">
        <v>7847</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7773</v>
      </c>
      <c r="B2909" s="204" t="s">
        <v>7848</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7774</v>
      </c>
      <c r="B2910" s="204" t="s">
        <v>7849</v>
      </c>
      <c r="C2910" s="204" t="s">
        <v>24</v>
      </c>
      <c r="D2910" s="204" t="s">
        <v>1242</v>
      </c>
      <c r="E2910" s="204" t="s">
        <v>3209</v>
      </c>
      <c r="F2910" s="4" t="s">
        <v>2276</v>
      </c>
      <c r="G2910" s="4" t="s">
        <v>2276</v>
      </c>
      <c r="H2910" s="204" t="s">
        <v>524</v>
      </c>
      <c r="I2910" s="103"/>
      <c r="J2910" s="21">
        <v>0</v>
      </c>
      <c r="K2910" s="21">
        <v>0</v>
      </c>
      <c r="L2910" s="21">
        <v>0</v>
      </c>
      <c r="M2910" s="21">
        <v>0</v>
      </c>
      <c r="N2910" s="21">
        <v>0</v>
      </c>
      <c r="O2910" s="21">
        <v>0</v>
      </c>
      <c r="P2910" s="21">
        <v>0</v>
      </c>
      <c r="Q2910" s="21">
        <v>0</v>
      </c>
      <c r="R2910" s="21">
        <v>0</v>
      </c>
      <c r="S2910" s="21">
        <v>0</v>
      </c>
      <c r="T2910" s="21">
        <v>0</v>
      </c>
      <c r="U2910" s="21">
        <v>0</v>
      </c>
      <c r="V2910" s="21">
        <v>0</v>
      </c>
      <c r="W2910" s="21">
        <v>0</v>
      </c>
      <c r="X2910" s="21">
        <v>0</v>
      </c>
      <c r="Y2910" s="21">
        <v>0</v>
      </c>
      <c r="Z2910" s="204" t="s">
        <v>2276</v>
      </c>
      <c r="AA2910" s="204" t="s">
        <v>2276</v>
      </c>
      <c r="AB2910" s="204" t="s">
        <v>2276</v>
      </c>
      <c r="AC2910" s="204"/>
      <c r="AD2910" s="204"/>
    </row>
    <row r="2911" spans="1:30" ht="33.5" customHeight="1">
      <c r="A2911" s="19" t="s">
        <v>7775</v>
      </c>
      <c r="B2911" s="204" t="s">
        <v>7850</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ht="36.5" customHeight="1">
      <c r="A2912" s="19" t="s">
        <v>7874</v>
      </c>
      <c r="B2912" s="11" t="s">
        <v>7876</v>
      </c>
      <c r="C2912" s="204" t="s">
        <v>24</v>
      </c>
      <c r="D2912" s="204" t="s">
        <v>143</v>
      </c>
      <c r="E2912" s="204" t="s">
        <v>130</v>
      </c>
      <c r="F2912" s="4" t="s">
        <v>74</v>
      </c>
      <c r="G2912" s="4" t="s">
        <v>74</v>
      </c>
      <c r="H2912" s="204" t="s">
        <v>523</v>
      </c>
      <c r="I2912" s="204"/>
      <c r="J2912" s="204" t="s">
        <v>2276</v>
      </c>
      <c r="K2912" s="21">
        <v>0.5</v>
      </c>
      <c r="L2912" s="204" t="s">
        <v>2276</v>
      </c>
      <c r="M2912" s="204" t="s">
        <v>2276</v>
      </c>
      <c r="N2912" s="204" t="s">
        <v>2276</v>
      </c>
      <c r="O2912" s="21">
        <v>2.327</v>
      </c>
      <c r="P2912" s="204" t="s">
        <v>2276</v>
      </c>
      <c r="Q2912" s="204" t="s">
        <v>2276</v>
      </c>
      <c r="R2912" s="204" t="s">
        <v>2276</v>
      </c>
      <c r="S2912" s="204" t="s">
        <v>2276</v>
      </c>
      <c r="T2912" s="204" t="s">
        <v>2276</v>
      </c>
      <c r="U2912" s="204" t="s">
        <v>2276</v>
      </c>
      <c r="V2912" s="204" t="s">
        <v>2276</v>
      </c>
      <c r="W2912" s="204" t="s">
        <v>2276</v>
      </c>
      <c r="X2912" s="204" t="s">
        <v>2276</v>
      </c>
      <c r="Y2912" s="204" t="s">
        <v>2276</v>
      </c>
      <c r="Z2912" s="204" t="s">
        <v>68</v>
      </c>
      <c r="AA2912" s="204" t="s">
        <v>35</v>
      </c>
      <c r="AB2912" s="204" t="s">
        <v>2276</v>
      </c>
      <c r="AC2912" s="204" t="s">
        <v>7885</v>
      </c>
      <c r="AD2912" s="204"/>
    </row>
    <row r="2913" spans="1:30" s="203" customFormat="1" ht="36.5" customHeight="1">
      <c r="A2913" s="19" t="s">
        <v>7874</v>
      </c>
      <c r="B2913" s="11" t="s">
        <v>7877</v>
      </c>
      <c r="C2913" s="204" t="s">
        <v>24</v>
      </c>
      <c r="D2913" s="204" t="s">
        <v>27</v>
      </c>
      <c r="E2913" s="204" t="s">
        <v>130</v>
      </c>
      <c r="F2913" s="4" t="s">
        <v>160</v>
      </c>
      <c r="G2913" s="4" t="s">
        <v>160</v>
      </c>
      <c r="H2913" s="204" t="s">
        <v>523</v>
      </c>
      <c r="I2913" s="204"/>
      <c r="J2913" s="204" t="s">
        <v>2276</v>
      </c>
      <c r="K2913" s="21">
        <v>0.5</v>
      </c>
      <c r="L2913" s="204" t="s">
        <v>2276</v>
      </c>
      <c r="M2913" s="204" t="s">
        <v>2276</v>
      </c>
      <c r="N2913" s="204" t="s">
        <v>2276</v>
      </c>
      <c r="O2913" s="21">
        <v>2.327</v>
      </c>
      <c r="P2913" s="204" t="s">
        <v>2276</v>
      </c>
      <c r="Q2913" s="204" t="s">
        <v>2276</v>
      </c>
      <c r="R2913" s="204" t="s">
        <v>2276</v>
      </c>
      <c r="S2913" s="204" t="s">
        <v>2276</v>
      </c>
      <c r="T2913" s="204" t="s">
        <v>2276</v>
      </c>
      <c r="U2913" s="204" t="s">
        <v>2276</v>
      </c>
      <c r="V2913" s="204" t="s">
        <v>2276</v>
      </c>
      <c r="W2913" s="204" t="s">
        <v>2276</v>
      </c>
      <c r="X2913" s="204" t="s">
        <v>2276</v>
      </c>
      <c r="Y2913" s="21" t="s">
        <v>2403</v>
      </c>
      <c r="Z2913" s="204" t="s">
        <v>425</v>
      </c>
      <c r="AA2913" s="204" t="s">
        <v>399</v>
      </c>
      <c r="AB2913" s="204" t="s">
        <v>2276</v>
      </c>
      <c r="AC2913" s="204"/>
      <c r="AD2913" s="204"/>
    </row>
    <row r="2914" spans="1:30" ht="47.5" customHeight="1">
      <c r="A2914" s="19" t="s">
        <v>7874</v>
      </c>
      <c r="B2914" s="11" t="s">
        <v>7878</v>
      </c>
      <c r="C2914" s="204" t="s">
        <v>24</v>
      </c>
      <c r="D2914" s="204" t="s">
        <v>143</v>
      </c>
      <c r="E2914" s="4" t="s">
        <v>3854</v>
      </c>
      <c r="F2914" s="4" t="s">
        <v>74</v>
      </c>
      <c r="G2914" s="4" t="s">
        <v>74</v>
      </c>
      <c r="H2914" s="204" t="s">
        <v>523</v>
      </c>
      <c r="I2914" s="204"/>
      <c r="J2914" s="204" t="s">
        <v>2276</v>
      </c>
      <c r="K2914" s="21">
        <v>1</v>
      </c>
      <c r="L2914" s="204" t="s">
        <v>2276</v>
      </c>
      <c r="M2914" s="21">
        <v>12.5</v>
      </c>
      <c r="N2914" s="204" t="s">
        <v>2276</v>
      </c>
      <c r="O2914" s="21">
        <v>5.4249999999999998</v>
      </c>
      <c r="P2914" s="204" t="s">
        <v>2276</v>
      </c>
      <c r="Q2914" s="204" t="s">
        <v>2276</v>
      </c>
      <c r="R2914" s="204" t="s">
        <v>2276</v>
      </c>
      <c r="S2914" s="204" t="s">
        <v>2276</v>
      </c>
      <c r="T2914" s="204" t="s">
        <v>2276</v>
      </c>
      <c r="U2914" s="204" t="s">
        <v>2276</v>
      </c>
      <c r="V2914" s="204" t="s">
        <v>2276</v>
      </c>
      <c r="W2914" s="204" t="s">
        <v>2276</v>
      </c>
      <c r="X2914" s="204" t="s">
        <v>2276</v>
      </c>
      <c r="Y2914" s="204" t="s">
        <v>2276</v>
      </c>
      <c r="Z2914" s="204" t="s">
        <v>68</v>
      </c>
      <c r="AA2914" s="204" t="s">
        <v>35</v>
      </c>
      <c r="AB2914" s="204" t="s">
        <v>2276</v>
      </c>
      <c r="AC2914" s="204"/>
      <c r="AD2914" s="204"/>
    </row>
    <row r="2915" spans="1:30" ht="47.5" customHeight="1">
      <c r="A2915" s="19" t="s">
        <v>7874</v>
      </c>
      <c r="B2915" s="11" t="s">
        <v>7879</v>
      </c>
      <c r="C2915" s="204" t="s">
        <v>24</v>
      </c>
      <c r="D2915" s="204" t="s">
        <v>25</v>
      </c>
      <c r="E2915" s="4" t="s">
        <v>3854</v>
      </c>
      <c r="F2915" s="4" t="s">
        <v>29</v>
      </c>
      <c r="G2915" s="4" t="s">
        <v>29</v>
      </c>
      <c r="H2915" s="204" t="s">
        <v>523</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04" t="s">
        <v>2276</v>
      </c>
      <c r="X2915" s="204" t="s">
        <v>2276</v>
      </c>
      <c r="Y2915" s="21" t="s">
        <v>2375</v>
      </c>
      <c r="Z2915" s="204" t="s">
        <v>2276</v>
      </c>
      <c r="AA2915" s="204" t="s">
        <v>2276</v>
      </c>
      <c r="AB2915" s="204" t="s">
        <v>2276</v>
      </c>
      <c r="AC2915" s="204"/>
      <c r="AD2915" s="204"/>
    </row>
    <row r="2916" spans="1:30" ht="47.5" customHeight="1">
      <c r="A2916" s="19" t="s">
        <v>7874</v>
      </c>
      <c r="B2916" s="11" t="s">
        <v>7880</v>
      </c>
      <c r="C2916" s="204" t="s">
        <v>2458</v>
      </c>
      <c r="D2916" s="204" t="s">
        <v>25</v>
      </c>
      <c r="E2916" s="4" t="s">
        <v>3854</v>
      </c>
      <c r="F2916" s="4" t="s">
        <v>29</v>
      </c>
      <c r="G2916" s="4" t="s">
        <v>74</v>
      </c>
      <c r="H2916" s="204" t="s">
        <v>523</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204"/>
      <c r="AD2916" s="204"/>
    </row>
    <row r="2917" spans="1:30" ht="36.5" customHeight="1">
      <c r="A2917" s="19" t="s">
        <v>7874</v>
      </c>
      <c r="B2917" s="11" t="s">
        <v>7881</v>
      </c>
      <c r="C2917" s="204" t="s">
        <v>24</v>
      </c>
      <c r="D2917" s="204" t="s">
        <v>143</v>
      </c>
      <c r="E2917" s="204" t="s">
        <v>45</v>
      </c>
      <c r="F2917" s="4" t="s">
        <v>74</v>
      </c>
      <c r="G2917" s="4" t="s">
        <v>74</v>
      </c>
      <c r="H2917" s="204" t="s">
        <v>523</v>
      </c>
      <c r="I2917" s="204"/>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68</v>
      </c>
      <c r="AA2917" s="204" t="s">
        <v>35</v>
      </c>
      <c r="AB2917" s="204" t="s">
        <v>2276</v>
      </c>
      <c r="AC2917" s="204"/>
      <c r="AD2917" s="204"/>
    </row>
    <row r="2918" spans="1:30" ht="36.5" customHeight="1">
      <c r="A2918" s="19" t="s">
        <v>7874</v>
      </c>
      <c r="B2918" s="11" t="s">
        <v>7882</v>
      </c>
      <c r="C2918" s="204" t="s">
        <v>24</v>
      </c>
      <c r="D2918" s="204" t="s">
        <v>25</v>
      </c>
      <c r="E2918" s="204" t="s">
        <v>45</v>
      </c>
      <c r="F2918" s="4" t="s">
        <v>29</v>
      </c>
      <c r="G2918" s="4" t="s">
        <v>29</v>
      </c>
      <c r="H2918" s="204" t="s">
        <v>523</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04" t="s">
        <v>2276</v>
      </c>
      <c r="X2918" s="204" t="s">
        <v>2276</v>
      </c>
      <c r="Y2918" s="21" t="s">
        <v>2375</v>
      </c>
      <c r="Z2918" s="204" t="s">
        <v>2276</v>
      </c>
      <c r="AA2918" s="204" t="s">
        <v>2276</v>
      </c>
      <c r="AB2918" s="204" t="s">
        <v>2276</v>
      </c>
      <c r="AC2918" s="204"/>
      <c r="AD2918" s="204"/>
    </row>
    <row r="2919" spans="1:30" ht="36.5" customHeight="1">
      <c r="A2919" s="19" t="s">
        <v>7874</v>
      </c>
      <c r="B2919" s="11" t="s">
        <v>7883</v>
      </c>
      <c r="C2919" s="204" t="s">
        <v>2458</v>
      </c>
      <c r="D2919" s="204" t="s">
        <v>25</v>
      </c>
      <c r="E2919" s="204" t="s">
        <v>45</v>
      </c>
      <c r="F2919" s="4" t="s">
        <v>29</v>
      </c>
      <c r="G2919" s="4" t="s">
        <v>74</v>
      </c>
      <c r="H2919" s="204" t="s">
        <v>523</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t="s">
        <v>2276</v>
      </c>
      <c r="AB2919" s="204" t="s">
        <v>2276</v>
      </c>
      <c r="AC2919" s="204"/>
      <c r="AD2919" s="204"/>
    </row>
    <row r="2920" spans="1:30" ht="49" customHeight="1">
      <c r="A2920" s="19" t="s">
        <v>7887</v>
      </c>
      <c r="B2920" s="11" t="s">
        <v>7891</v>
      </c>
      <c r="C2920" s="204" t="s">
        <v>24</v>
      </c>
      <c r="D2920" s="204" t="s">
        <v>25</v>
      </c>
      <c r="E2920" s="204" t="s">
        <v>45</v>
      </c>
      <c r="F2920" s="4" t="s">
        <v>55</v>
      </c>
      <c r="G2920" s="4" t="s">
        <v>55</v>
      </c>
      <c r="H2920" s="204" t="s">
        <v>523</v>
      </c>
      <c r="I2920" s="204"/>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204" t="s">
        <v>2276</v>
      </c>
      <c r="AB2920" s="204" t="s">
        <v>2276</v>
      </c>
      <c r="AC2920" s="4" t="s">
        <v>7893</v>
      </c>
      <c r="AD2920" s="204" t="s">
        <v>7895</v>
      </c>
    </row>
    <row r="2921" spans="1:30" ht="49" customHeight="1">
      <c r="A2921" s="19" t="s">
        <v>7887</v>
      </c>
      <c r="B2921" s="11" t="s">
        <v>7892</v>
      </c>
      <c r="C2921" s="204" t="s">
        <v>24</v>
      </c>
      <c r="D2921" s="204" t="s">
        <v>25</v>
      </c>
      <c r="E2921" s="204" t="s">
        <v>5005</v>
      </c>
      <c r="F2921" s="4" t="s">
        <v>55</v>
      </c>
      <c r="G2921" s="4" t="s">
        <v>55</v>
      </c>
      <c r="H2921" s="204" t="s">
        <v>523</v>
      </c>
      <c r="I2921" s="204"/>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4" t="s">
        <v>7894</v>
      </c>
      <c r="AD2921" s="204" t="s">
        <v>7895</v>
      </c>
    </row>
    <row r="2922" spans="1:30" ht="33.5" customHeight="1">
      <c r="A2922" s="204" t="s">
        <v>7896</v>
      </c>
      <c r="B2922" s="11" t="s">
        <v>7899</v>
      </c>
      <c r="C2922" s="204" t="s">
        <v>24</v>
      </c>
      <c r="D2922" s="204" t="s">
        <v>144</v>
      </c>
      <c r="E2922" s="204" t="s">
        <v>137</v>
      </c>
      <c r="F2922" s="4" t="s">
        <v>2276</v>
      </c>
      <c r="G2922" s="4" t="s">
        <v>2276</v>
      </c>
      <c r="H2922" s="204" t="s">
        <v>524</v>
      </c>
      <c r="I2922" s="204"/>
      <c r="J2922" s="21">
        <v>0</v>
      </c>
      <c r="K2922" s="21">
        <v>0</v>
      </c>
      <c r="L2922" s="21">
        <v>0</v>
      </c>
      <c r="M2922" s="21">
        <v>0</v>
      </c>
      <c r="N2922" s="21">
        <v>0</v>
      </c>
      <c r="O2922" s="21">
        <v>0</v>
      </c>
      <c r="P2922" s="21">
        <v>0</v>
      </c>
      <c r="Q2922" s="21">
        <v>0</v>
      </c>
      <c r="R2922" s="21">
        <v>0</v>
      </c>
      <c r="S2922" s="21">
        <v>0</v>
      </c>
      <c r="T2922" s="21">
        <v>0</v>
      </c>
      <c r="U2922" s="21">
        <v>0</v>
      </c>
      <c r="V2922" s="21">
        <v>0</v>
      </c>
      <c r="W2922" s="21">
        <v>0</v>
      </c>
      <c r="X2922" s="204" t="s">
        <v>2276</v>
      </c>
      <c r="Y2922" s="204" t="s">
        <v>2276</v>
      </c>
      <c r="Z2922" s="204" t="s">
        <v>2276</v>
      </c>
      <c r="AA2922" s="204" t="s">
        <v>2276</v>
      </c>
      <c r="AB2922" s="204" t="s">
        <v>2276</v>
      </c>
      <c r="AC2922" s="204"/>
      <c r="AD2922" s="204"/>
    </row>
    <row r="2923" spans="1:30" ht="33.5" customHeight="1">
      <c r="A2923" s="204" t="s">
        <v>7896</v>
      </c>
      <c r="B2923" s="11" t="s">
        <v>7900</v>
      </c>
      <c r="C2923" s="204" t="s">
        <v>24</v>
      </c>
      <c r="D2923" s="204" t="s">
        <v>25</v>
      </c>
      <c r="E2923" s="204" t="s">
        <v>45</v>
      </c>
      <c r="F2923" s="4" t="s">
        <v>2276</v>
      </c>
      <c r="G2923" s="4" t="s">
        <v>2276</v>
      </c>
      <c r="H2923" s="204" t="s">
        <v>524</v>
      </c>
      <c r="I2923" s="204"/>
      <c r="J2923" s="21">
        <v>0</v>
      </c>
      <c r="K2923" s="21">
        <v>0</v>
      </c>
      <c r="L2923" s="21">
        <v>0</v>
      </c>
      <c r="M2923" s="21">
        <v>0</v>
      </c>
      <c r="N2923" s="21">
        <v>0</v>
      </c>
      <c r="O2923" s="21">
        <v>0</v>
      </c>
      <c r="P2923" s="21">
        <v>0</v>
      </c>
      <c r="Q2923" s="21">
        <v>0</v>
      </c>
      <c r="R2923" s="21">
        <v>0</v>
      </c>
      <c r="S2923" s="21">
        <v>0</v>
      </c>
      <c r="T2923" s="21">
        <v>0</v>
      </c>
      <c r="U2923" s="21">
        <v>0</v>
      </c>
      <c r="V2923" s="21">
        <v>0</v>
      </c>
      <c r="W2923" s="21">
        <v>0</v>
      </c>
      <c r="X2923" s="204" t="s">
        <v>2276</v>
      </c>
      <c r="Y2923" s="204" t="s">
        <v>2276</v>
      </c>
      <c r="Z2923" s="204" t="s">
        <v>2276</v>
      </c>
      <c r="AA2923" s="204" t="s">
        <v>2276</v>
      </c>
      <c r="AB2923" s="204" t="s">
        <v>2276</v>
      </c>
      <c r="AC2923" s="204"/>
      <c r="AD2923" s="204"/>
    </row>
    <row r="2924" spans="1:30" ht="32" customHeight="1">
      <c r="A2924" s="204" t="s">
        <v>7902</v>
      </c>
      <c r="B2924" s="11" t="s">
        <v>7904</v>
      </c>
      <c r="C2924" s="204" t="s">
        <v>2658</v>
      </c>
      <c r="D2924" s="204" t="s">
        <v>2276</v>
      </c>
      <c r="E2924" s="204" t="s">
        <v>2276</v>
      </c>
      <c r="F2924" s="204" t="s">
        <v>2276</v>
      </c>
      <c r="G2924" s="4" t="s">
        <v>2662</v>
      </c>
      <c r="H2924" s="204" t="s">
        <v>523</v>
      </c>
      <c r="I2924" s="204"/>
      <c r="J2924" s="204" t="s">
        <v>2276</v>
      </c>
      <c r="K2924" s="204" t="s">
        <v>2276</v>
      </c>
      <c r="L2924" s="204" t="s">
        <v>2276</v>
      </c>
      <c r="M2924" s="204" t="s">
        <v>2276</v>
      </c>
      <c r="N2924" s="204" t="s">
        <v>2276</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t="s">
        <v>2276</v>
      </c>
      <c r="AB2924" s="204" t="s">
        <v>2276</v>
      </c>
      <c r="AC2924" s="204"/>
      <c r="AD2924" s="204"/>
    </row>
    <row r="2925" spans="1:30" ht="31.5" customHeight="1">
      <c r="A2925" s="55" t="s">
        <v>7908</v>
      </c>
      <c r="B2925" s="55" t="s">
        <v>7919</v>
      </c>
      <c r="C2925" s="204" t="s">
        <v>24</v>
      </c>
      <c r="D2925" s="204" t="s">
        <v>144</v>
      </c>
      <c r="E2925" s="204" t="s">
        <v>137</v>
      </c>
      <c r="F2925" s="4" t="s">
        <v>2662</v>
      </c>
      <c r="G2925" s="4" t="s">
        <v>2662</v>
      </c>
      <c r="H2925" s="204" t="s">
        <v>523</v>
      </c>
      <c r="I2925" s="204"/>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2276</v>
      </c>
      <c r="Y2925" s="21">
        <v>2</v>
      </c>
      <c r="Z2925" s="204" t="s">
        <v>425</v>
      </c>
      <c r="AA2925" s="204" t="s">
        <v>68</v>
      </c>
      <c r="AB2925" s="204" t="s">
        <v>2655</v>
      </c>
      <c r="AC2925" s="204" t="s">
        <v>7927</v>
      </c>
      <c r="AD2925" s="204"/>
    </row>
    <row r="2926" spans="1:30" ht="31.5" customHeight="1">
      <c r="A2926" s="19" t="s">
        <v>7911</v>
      </c>
      <c r="B2926" s="19" t="s">
        <v>7920</v>
      </c>
      <c r="C2926" s="204" t="s">
        <v>24</v>
      </c>
      <c r="D2926" s="204" t="s">
        <v>144</v>
      </c>
      <c r="E2926" s="204" t="s">
        <v>137</v>
      </c>
      <c r="F2926" s="4" t="s">
        <v>2662</v>
      </c>
      <c r="G2926" s="4" t="s">
        <v>2662</v>
      </c>
      <c r="H2926" s="204" t="s">
        <v>523</v>
      </c>
      <c r="I2926" s="204"/>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2276</v>
      </c>
      <c r="Y2926" s="21">
        <v>2</v>
      </c>
      <c r="Z2926" s="204" t="s">
        <v>425</v>
      </c>
      <c r="AA2926" s="204" t="s">
        <v>68</v>
      </c>
      <c r="AB2926" s="204" t="s">
        <v>2655</v>
      </c>
      <c r="AC2926" s="204" t="s">
        <v>7927</v>
      </c>
      <c r="AD2926" s="204"/>
    </row>
    <row r="2927" spans="1:30" ht="31.5" customHeight="1">
      <c r="A2927" s="19" t="s">
        <v>7912</v>
      </c>
      <c r="B2927" s="19" t="s">
        <v>7921</v>
      </c>
      <c r="C2927" s="204" t="s">
        <v>24</v>
      </c>
      <c r="D2927" s="204" t="s">
        <v>144</v>
      </c>
      <c r="E2927" s="204" t="s">
        <v>137</v>
      </c>
      <c r="F2927" s="4" t="s">
        <v>2662</v>
      </c>
      <c r="G2927" s="4" t="s">
        <v>2662</v>
      </c>
      <c r="H2927" s="204" t="s">
        <v>523</v>
      </c>
      <c r="I2927" s="204"/>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2276</v>
      </c>
      <c r="Y2927" s="21">
        <v>2</v>
      </c>
      <c r="Z2927" s="204" t="s">
        <v>425</v>
      </c>
      <c r="AA2927" s="204" t="s">
        <v>68</v>
      </c>
      <c r="AB2927" s="204" t="s">
        <v>2655</v>
      </c>
      <c r="AC2927" s="204" t="s">
        <v>7927</v>
      </c>
      <c r="AD2927" s="204"/>
    </row>
    <row r="2928" spans="1:30" ht="31.5" customHeight="1">
      <c r="A2928" s="19" t="s">
        <v>7913</v>
      </c>
      <c r="B2928" s="19" t="s">
        <v>7922</v>
      </c>
      <c r="C2928" s="204" t="s">
        <v>24</v>
      </c>
      <c r="D2928" s="204" t="s">
        <v>144</v>
      </c>
      <c r="E2928" s="204" t="s">
        <v>137</v>
      </c>
      <c r="F2928" s="4" t="s">
        <v>2662</v>
      </c>
      <c r="G2928" s="4" t="s">
        <v>2662</v>
      </c>
      <c r="H2928" s="204" t="s">
        <v>523</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1">
        <v>2</v>
      </c>
      <c r="Z2928" s="204" t="s">
        <v>425</v>
      </c>
      <c r="AA2928" s="204" t="s">
        <v>68</v>
      </c>
      <c r="AB2928" s="204" t="s">
        <v>2655</v>
      </c>
      <c r="AC2928" s="204" t="s">
        <v>7927</v>
      </c>
      <c r="AD2928" s="204"/>
    </row>
    <row r="2929" spans="1:30" ht="31.5" customHeight="1">
      <c r="A2929" s="19" t="s">
        <v>7914</v>
      </c>
      <c r="B2929" s="19" t="s">
        <v>7923</v>
      </c>
      <c r="C2929" s="204" t="s">
        <v>24</v>
      </c>
      <c r="D2929" s="204" t="s">
        <v>25</v>
      </c>
      <c r="E2929" s="204" t="s">
        <v>2647</v>
      </c>
      <c r="F2929" s="4" t="s">
        <v>29</v>
      </c>
      <c r="G2929" s="4" t="s">
        <v>29</v>
      </c>
      <c r="H2929" s="204" t="s">
        <v>523</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1">
        <v>2</v>
      </c>
      <c r="Z2929" s="204" t="s">
        <v>425</v>
      </c>
      <c r="AA2929" s="204" t="s">
        <v>68</v>
      </c>
      <c r="AB2929" s="204" t="s">
        <v>2655</v>
      </c>
      <c r="AC2929" s="204" t="s">
        <v>7927</v>
      </c>
      <c r="AD2929" s="204"/>
    </row>
    <row r="2930" spans="1:30" ht="31.5" customHeight="1">
      <c r="A2930" s="19" t="s">
        <v>7915</v>
      </c>
      <c r="B2930" s="19" t="s">
        <v>7924</v>
      </c>
      <c r="C2930" s="204" t="s">
        <v>24</v>
      </c>
      <c r="D2930" s="204" t="s">
        <v>25</v>
      </c>
      <c r="E2930" s="204" t="s">
        <v>2647</v>
      </c>
      <c r="F2930" s="4" t="s">
        <v>29</v>
      </c>
      <c r="G2930" s="4" t="s">
        <v>29</v>
      </c>
      <c r="H2930" s="204" t="s">
        <v>523</v>
      </c>
      <c r="I2930" s="204"/>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1">
        <v>2</v>
      </c>
      <c r="Z2930" s="204" t="s">
        <v>425</v>
      </c>
      <c r="AA2930" s="204" t="s">
        <v>68</v>
      </c>
      <c r="AB2930" s="204" t="s">
        <v>2655</v>
      </c>
      <c r="AC2930" s="204" t="s">
        <v>7927</v>
      </c>
      <c r="AD2930" s="204"/>
    </row>
    <row r="2931" spans="1:30" ht="31.5" customHeight="1">
      <c r="A2931" s="19" t="s">
        <v>7916</v>
      </c>
      <c r="B2931" s="19" t="s">
        <v>7925</v>
      </c>
      <c r="C2931" s="204" t="s">
        <v>24</v>
      </c>
      <c r="D2931" s="204" t="s">
        <v>25</v>
      </c>
      <c r="E2931" s="204" t="s">
        <v>2647</v>
      </c>
      <c r="F2931" s="4" t="s">
        <v>29</v>
      </c>
      <c r="G2931" s="4" t="s">
        <v>29</v>
      </c>
      <c r="H2931" s="204" t="s">
        <v>523</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1">
        <v>2</v>
      </c>
      <c r="Z2931" s="204" t="s">
        <v>425</v>
      </c>
      <c r="AA2931" s="204" t="s">
        <v>68</v>
      </c>
      <c r="AB2931" s="204" t="s">
        <v>2655</v>
      </c>
      <c r="AC2931" s="204" t="s">
        <v>7927</v>
      </c>
      <c r="AD2931" s="204"/>
    </row>
    <row r="2932" spans="1:30" ht="31.5" customHeight="1">
      <c r="A2932" s="19" t="s">
        <v>7917</v>
      </c>
      <c r="B2932" s="19" t="s">
        <v>7926</v>
      </c>
      <c r="C2932" s="204" t="s">
        <v>24</v>
      </c>
      <c r="D2932" s="204" t="s">
        <v>25</v>
      </c>
      <c r="E2932" s="204" t="s">
        <v>5005</v>
      </c>
      <c r="F2932" s="4" t="s">
        <v>2662</v>
      </c>
      <c r="G2932" s="4" t="s">
        <v>2662</v>
      </c>
      <c r="H2932" s="204" t="s">
        <v>524</v>
      </c>
      <c r="I2932" s="204"/>
      <c r="J2932" s="21">
        <v>0</v>
      </c>
      <c r="K2932" s="21">
        <v>0</v>
      </c>
      <c r="L2932" s="21">
        <v>0</v>
      </c>
      <c r="M2932" s="21">
        <v>0</v>
      </c>
      <c r="N2932" s="21">
        <v>0</v>
      </c>
      <c r="O2932" s="21">
        <v>0</v>
      </c>
      <c r="P2932" s="21">
        <v>0</v>
      </c>
      <c r="Q2932" s="21">
        <v>0</v>
      </c>
      <c r="R2932" s="21">
        <v>0</v>
      </c>
      <c r="S2932" s="21">
        <v>0</v>
      </c>
      <c r="T2932" s="21">
        <v>0</v>
      </c>
      <c r="U2932" s="21">
        <v>0</v>
      </c>
      <c r="V2932" s="21">
        <v>0</v>
      </c>
      <c r="W2932" s="21">
        <v>0</v>
      </c>
      <c r="X2932" s="204" t="s">
        <v>2276</v>
      </c>
      <c r="Y2932" s="204" t="s">
        <v>2276</v>
      </c>
      <c r="Z2932" s="204" t="s">
        <v>2276</v>
      </c>
      <c r="AA2932" s="204" t="s">
        <v>2276</v>
      </c>
      <c r="AB2932" s="204" t="s">
        <v>2276</v>
      </c>
      <c r="AC2932" s="204"/>
      <c r="AD2932" s="204"/>
    </row>
    <row r="2933" spans="1:30" ht="31.5" customHeight="1">
      <c r="A2933" s="19" t="s">
        <v>7931</v>
      </c>
      <c r="B2933" s="19" t="s">
        <v>7935</v>
      </c>
      <c r="C2933" s="204" t="s">
        <v>24</v>
      </c>
      <c r="D2933" s="204" t="s">
        <v>144</v>
      </c>
      <c r="E2933" s="204" t="s">
        <v>137</v>
      </c>
      <c r="F2933" s="4" t="s">
        <v>2662</v>
      </c>
      <c r="G2933" s="4" t="s">
        <v>2662</v>
      </c>
      <c r="H2933" s="204" t="s">
        <v>524</v>
      </c>
      <c r="I2933" s="204"/>
      <c r="J2933" s="21">
        <v>0</v>
      </c>
      <c r="K2933" s="21">
        <v>0</v>
      </c>
      <c r="L2933" s="21">
        <v>0</v>
      </c>
      <c r="M2933" s="21">
        <v>0</v>
      </c>
      <c r="N2933" s="21">
        <v>0</v>
      </c>
      <c r="O2933" s="21">
        <v>0</v>
      </c>
      <c r="P2933" s="21">
        <v>0</v>
      </c>
      <c r="Q2933" s="21">
        <v>0</v>
      </c>
      <c r="R2933" s="21">
        <v>0</v>
      </c>
      <c r="S2933" s="21">
        <v>0</v>
      </c>
      <c r="T2933" s="21">
        <v>0</v>
      </c>
      <c r="U2933" s="21">
        <v>0</v>
      </c>
      <c r="V2933" s="21">
        <v>0</v>
      </c>
      <c r="W2933" s="21">
        <v>0</v>
      </c>
      <c r="X2933" s="204" t="s">
        <v>2276</v>
      </c>
      <c r="Y2933" s="204" t="s">
        <v>2276</v>
      </c>
      <c r="Z2933" s="204" t="s">
        <v>2276</v>
      </c>
      <c r="AA2933" s="204" t="s">
        <v>2276</v>
      </c>
      <c r="AB2933" s="204" t="s">
        <v>2276</v>
      </c>
      <c r="AC2933" s="204"/>
      <c r="AD2933" s="204"/>
    </row>
    <row r="2934" spans="1:30" ht="31.5" customHeight="1">
      <c r="A2934" s="19" t="s">
        <v>7931</v>
      </c>
      <c r="B2934" s="19" t="s">
        <v>7936</v>
      </c>
      <c r="C2934" s="204" t="s">
        <v>24</v>
      </c>
      <c r="D2934" s="204" t="s">
        <v>25</v>
      </c>
      <c r="E2934" s="204" t="s">
        <v>45</v>
      </c>
      <c r="F2934" s="4" t="s">
        <v>2662</v>
      </c>
      <c r="G2934" s="4" t="s">
        <v>2662</v>
      </c>
      <c r="H2934" s="204" t="s">
        <v>523</v>
      </c>
      <c r="I2934" s="204"/>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204"/>
      <c r="AD2934" s="204"/>
    </row>
    <row r="2935" spans="1:30" ht="31.5" customHeight="1">
      <c r="A2935" s="19" t="s">
        <v>7931</v>
      </c>
      <c r="B2935" s="19" t="s">
        <v>7937</v>
      </c>
      <c r="C2935" s="204" t="s">
        <v>1105</v>
      </c>
      <c r="D2935" s="204" t="s">
        <v>1105</v>
      </c>
      <c r="E2935" s="204" t="s">
        <v>1105</v>
      </c>
      <c r="F2935" s="204" t="s">
        <v>2276</v>
      </c>
      <c r="G2935" s="4" t="s">
        <v>2662</v>
      </c>
      <c r="H2935" s="204" t="s">
        <v>523</v>
      </c>
      <c r="I2935" s="204"/>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1">
        <v>6</v>
      </c>
      <c r="W2935" s="204" t="s">
        <v>2276</v>
      </c>
      <c r="X2935" s="21">
        <v>3</v>
      </c>
      <c r="Y2935" s="204" t="s">
        <v>2276</v>
      </c>
      <c r="Z2935" s="204" t="s">
        <v>2276</v>
      </c>
      <c r="AA2935" s="204" t="s">
        <v>2276</v>
      </c>
      <c r="AB2935" s="204" t="s">
        <v>2276</v>
      </c>
      <c r="AC2935" s="204"/>
      <c r="AD2935" s="204"/>
    </row>
    <row r="2936" spans="1:30" ht="35.5" customHeight="1">
      <c r="A2936" s="19" t="s">
        <v>7931</v>
      </c>
      <c r="B2936" s="19" t="s">
        <v>7938</v>
      </c>
      <c r="C2936" s="204" t="s">
        <v>31</v>
      </c>
      <c r="D2936" s="204" t="s">
        <v>2276</v>
      </c>
      <c r="E2936" s="204" t="s">
        <v>2276</v>
      </c>
      <c r="F2936" s="204" t="s">
        <v>2276</v>
      </c>
      <c r="G2936" s="4" t="s">
        <v>2662</v>
      </c>
      <c r="H2936" s="204" t="s">
        <v>523</v>
      </c>
      <c r="I2936" s="204"/>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t="s">
        <v>2276</v>
      </c>
      <c r="AB2936" s="204" t="s">
        <v>2276</v>
      </c>
      <c r="AC2936" s="204"/>
      <c r="AD2936" s="204"/>
    </row>
    <row r="2937" spans="1:30" ht="32" customHeight="1">
      <c r="A2937" s="19" t="s">
        <v>7940</v>
      </c>
      <c r="B2937" s="19" t="s">
        <v>7958</v>
      </c>
      <c r="C2937" s="204" t="s">
        <v>1105</v>
      </c>
      <c r="D2937" s="204" t="s">
        <v>2276</v>
      </c>
      <c r="E2937" s="204" t="s">
        <v>2276</v>
      </c>
      <c r="F2937" s="204" t="s">
        <v>2276</v>
      </c>
      <c r="G2937" s="204" t="s">
        <v>2276</v>
      </c>
      <c r="H2937" s="204" t="s">
        <v>523</v>
      </c>
      <c r="I2937" s="204"/>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38</v>
      </c>
      <c r="AA2937" s="204" t="s">
        <v>425</v>
      </c>
      <c r="AB2937" s="204" t="s">
        <v>64</v>
      </c>
      <c r="AC2937" s="204"/>
      <c r="AD2937" s="4" t="s">
        <v>7968</v>
      </c>
    </row>
    <row r="2938" spans="1:30" ht="32" customHeight="1">
      <c r="A2938" s="19" t="s">
        <v>7940</v>
      </c>
      <c r="B2938" s="19" t="s">
        <v>7959</v>
      </c>
      <c r="C2938" s="204" t="s">
        <v>1105</v>
      </c>
      <c r="D2938" s="204" t="s">
        <v>2276</v>
      </c>
      <c r="E2938" s="204" t="s">
        <v>2276</v>
      </c>
      <c r="F2938" s="204" t="s">
        <v>2276</v>
      </c>
      <c r="G2938" s="204" t="s">
        <v>2276</v>
      </c>
      <c r="H2938" s="204" t="s">
        <v>523</v>
      </c>
      <c r="I2938" s="204"/>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04" t="s">
        <v>2276</v>
      </c>
      <c r="Z2938" s="204" t="s">
        <v>38</v>
      </c>
      <c r="AA2938" s="204" t="s">
        <v>425</v>
      </c>
      <c r="AB2938" s="204" t="s">
        <v>64</v>
      </c>
      <c r="AC2938" s="204"/>
      <c r="AD2938" s="4" t="s">
        <v>7968</v>
      </c>
    </row>
    <row r="2939" spans="1:30" ht="32" customHeight="1">
      <c r="A2939" s="19" t="s">
        <v>7940</v>
      </c>
      <c r="B2939" s="19" t="s">
        <v>7960</v>
      </c>
      <c r="C2939" s="204" t="s">
        <v>1105</v>
      </c>
      <c r="D2939" s="204" t="s">
        <v>2276</v>
      </c>
      <c r="E2939" s="204" t="s">
        <v>2276</v>
      </c>
      <c r="F2939" s="204" t="s">
        <v>2276</v>
      </c>
      <c r="G2939" s="204" t="s">
        <v>2276</v>
      </c>
      <c r="H2939" s="204" t="s">
        <v>523</v>
      </c>
      <c r="I2939" s="204"/>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04" t="s">
        <v>2276</v>
      </c>
      <c r="Z2939" s="204" t="s">
        <v>38</v>
      </c>
      <c r="AA2939" s="204" t="s">
        <v>425</v>
      </c>
      <c r="AB2939" s="204" t="s">
        <v>64</v>
      </c>
      <c r="AC2939" s="204"/>
      <c r="AD2939" s="4" t="s">
        <v>7968</v>
      </c>
    </row>
    <row r="2940" spans="1:30" ht="32" customHeight="1">
      <c r="A2940" s="19" t="s">
        <v>7940</v>
      </c>
      <c r="B2940" s="19" t="s">
        <v>7961</v>
      </c>
      <c r="C2940" s="204" t="s">
        <v>1105</v>
      </c>
      <c r="D2940" s="204" t="s">
        <v>2276</v>
      </c>
      <c r="E2940" s="204" t="s">
        <v>2276</v>
      </c>
      <c r="F2940" s="204" t="s">
        <v>2276</v>
      </c>
      <c r="G2940" s="204" t="s">
        <v>2276</v>
      </c>
      <c r="H2940" s="204" t="s">
        <v>523</v>
      </c>
      <c r="I2940" s="204"/>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04" t="s">
        <v>2276</v>
      </c>
      <c r="Z2940" s="204" t="s">
        <v>38</v>
      </c>
      <c r="AA2940" s="204" t="s">
        <v>425</v>
      </c>
      <c r="AB2940" s="204" t="s">
        <v>64</v>
      </c>
      <c r="AC2940" s="204"/>
      <c r="AD2940" s="4" t="s">
        <v>7968</v>
      </c>
    </row>
    <row r="2941" spans="1:30" ht="32" customHeight="1">
      <c r="A2941" s="19" t="s">
        <v>7940</v>
      </c>
      <c r="B2941" s="19" t="s">
        <v>7962</v>
      </c>
      <c r="C2941" s="204" t="s">
        <v>1105</v>
      </c>
      <c r="D2941" s="204" t="s">
        <v>2276</v>
      </c>
      <c r="E2941" s="204" t="s">
        <v>2276</v>
      </c>
      <c r="F2941" s="204" t="s">
        <v>2276</v>
      </c>
      <c r="G2941" s="204" t="s">
        <v>2276</v>
      </c>
      <c r="H2941" s="204" t="s">
        <v>523</v>
      </c>
      <c r="I2941" s="204"/>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04" t="s">
        <v>2276</v>
      </c>
      <c r="Z2941" s="204" t="s">
        <v>38</v>
      </c>
      <c r="AA2941" s="204" t="s">
        <v>425</v>
      </c>
      <c r="AB2941" s="204" t="s">
        <v>64</v>
      </c>
      <c r="AC2941" s="204"/>
      <c r="AD2941" s="4" t="s">
        <v>7968</v>
      </c>
    </row>
    <row r="2942" spans="1:30" ht="32" customHeight="1">
      <c r="A2942" s="19" t="s">
        <v>7941</v>
      </c>
      <c r="B2942" s="19" t="s">
        <v>7963</v>
      </c>
      <c r="C2942" s="204" t="s">
        <v>1105</v>
      </c>
      <c r="D2942" s="204" t="s">
        <v>2276</v>
      </c>
      <c r="E2942" s="204" t="s">
        <v>2276</v>
      </c>
      <c r="F2942" s="204" t="s">
        <v>2276</v>
      </c>
      <c r="G2942" s="204" t="s">
        <v>2276</v>
      </c>
      <c r="H2942" s="204" t="s">
        <v>523</v>
      </c>
      <c r="I2942" s="204"/>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2276</v>
      </c>
      <c r="Y2942" s="204" t="s">
        <v>2276</v>
      </c>
      <c r="Z2942" s="204" t="s">
        <v>38</v>
      </c>
      <c r="AA2942" s="204" t="s">
        <v>425</v>
      </c>
      <c r="AB2942" s="204" t="s">
        <v>64</v>
      </c>
      <c r="AC2942" s="204"/>
      <c r="AD2942" s="4" t="s">
        <v>7968</v>
      </c>
    </row>
    <row r="2943" spans="1:30" ht="32" customHeight="1">
      <c r="A2943" s="19" t="s">
        <v>7941</v>
      </c>
      <c r="B2943" s="19" t="s">
        <v>7964</v>
      </c>
      <c r="C2943" s="204" t="s">
        <v>1105</v>
      </c>
      <c r="D2943" s="204" t="s">
        <v>2276</v>
      </c>
      <c r="E2943" s="204" t="s">
        <v>2276</v>
      </c>
      <c r="F2943" s="204" t="s">
        <v>2276</v>
      </c>
      <c r="G2943" s="204" t="s">
        <v>2276</v>
      </c>
      <c r="H2943" s="204" t="s">
        <v>523</v>
      </c>
      <c r="I2943" s="204"/>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04" t="s">
        <v>2276</v>
      </c>
      <c r="Z2943" s="204" t="s">
        <v>38</v>
      </c>
      <c r="AA2943" s="204" t="s">
        <v>425</v>
      </c>
      <c r="AB2943" s="204" t="s">
        <v>64</v>
      </c>
      <c r="AC2943" s="204"/>
      <c r="AD2943" s="4" t="s">
        <v>7968</v>
      </c>
    </row>
    <row r="2944" spans="1:30" ht="32" customHeight="1">
      <c r="A2944" s="19" t="s">
        <v>7941</v>
      </c>
      <c r="B2944" s="19" t="s">
        <v>7965</v>
      </c>
      <c r="C2944" s="204" t="s">
        <v>1105</v>
      </c>
      <c r="D2944" s="204" t="s">
        <v>2276</v>
      </c>
      <c r="E2944" s="204" t="s">
        <v>2276</v>
      </c>
      <c r="F2944" s="204" t="s">
        <v>2276</v>
      </c>
      <c r="G2944" s="204" t="s">
        <v>2276</v>
      </c>
      <c r="H2944" s="204" t="s">
        <v>523</v>
      </c>
      <c r="I2944" s="204"/>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04" t="s">
        <v>2276</v>
      </c>
      <c r="Z2944" s="204" t="s">
        <v>38</v>
      </c>
      <c r="AA2944" s="204" t="s">
        <v>425</v>
      </c>
      <c r="AB2944" s="204" t="s">
        <v>64</v>
      </c>
      <c r="AC2944" s="204"/>
      <c r="AD2944" s="4" t="s">
        <v>7968</v>
      </c>
    </row>
    <row r="2945" spans="1:30" ht="32" customHeight="1">
      <c r="A2945" s="19" t="s">
        <v>7941</v>
      </c>
      <c r="B2945" s="19" t="s">
        <v>7966</v>
      </c>
      <c r="C2945" s="204" t="s">
        <v>1105</v>
      </c>
      <c r="D2945" s="204" t="s">
        <v>2276</v>
      </c>
      <c r="E2945" s="204" t="s">
        <v>2276</v>
      </c>
      <c r="F2945" s="204" t="s">
        <v>2276</v>
      </c>
      <c r="G2945" s="204" t="s">
        <v>2276</v>
      </c>
      <c r="H2945" s="204" t="s">
        <v>523</v>
      </c>
      <c r="I2945" s="204"/>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04" t="s">
        <v>2276</v>
      </c>
      <c r="W2945" s="204" t="s">
        <v>2276</v>
      </c>
      <c r="X2945" s="204" t="s">
        <v>2276</v>
      </c>
      <c r="Y2945" s="204" t="s">
        <v>2276</v>
      </c>
      <c r="Z2945" s="204" t="s">
        <v>38</v>
      </c>
      <c r="AA2945" s="204" t="s">
        <v>425</v>
      </c>
      <c r="AB2945" s="204" t="s">
        <v>64</v>
      </c>
      <c r="AC2945" s="204"/>
      <c r="AD2945" s="4" t="s">
        <v>7968</v>
      </c>
    </row>
    <row r="2946" spans="1:30" ht="32" customHeight="1">
      <c r="A2946" s="19" t="s">
        <v>7941</v>
      </c>
      <c r="B2946" s="19" t="s">
        <v>7967</v>
      </c>
      <c r="C2946" s="204" t="s">
        <v>1105</v>
      </c>
      <c r="D2946" s="204" t="s">
        <v>2276</v>
      </c>
      <c r="E2946" s="204" t="s">
        <v>2276</v>
      </c>
      <c r="F2946" s="204" t="s">
        <v>2276</v>
      </c>
      <c r="G2946" s="204" t="s">
        <v>2276</v>
      </c>
      <c r="H2946" s="204" t="s">
        <v>523</v>
      </c>
      <c r="I2946" s="204"/>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04" t="s">
        <v>2276</v>
      </c>
      <c r="W2946" s="204" t="s">
        <v>2276</v>
      </c>
      <c r="X2946" s="204" t="s">
        <v>2276</v>
      </c>
      <c r="Y2946" s="204" t="s">
        <v>2276</v>
      </c>
      <c r="Z2946" s="204" t="s">
        <v>38</v>
      </c>
      <c r="AA2946" s="204" t="s">
        <v>425</v>
      </c>
      <c r="AB2946" s="204" t="s">
        <v>64</v>
      </c>
      <c r="AC2946" s="204"/>
      <c r="AD2946" s="4" t="s">
        <v>7968</v>
      </c>
    </row>
    <row r="2947" spans="1:30" ht="45.5" customHeight="1">
      <c r="A2947" s="19" t="s">
        <v>7941</v>
      </c>
      <c r="B2947" s="19" t="s">
        <v>7969</v>
      </c>
      <c r="C2947" s="204" t="s">
        <v>24</v>
      </c>
      <c r="D2947" s="204" t="s">
        <v>25</v>
      </c>
      <c r="E2947" s="204" t="s">
        <v>45</v>
      </c>
      <c r="F2947" s="4" t="s">
        <v>2662</v>
      </c>
      <c r="G2947" s="4" t="s">
        <v>2662</v>
      </c>
      <c r="H2947" s="204" t="s">
        <v>523</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04" t="s">
        <v>2276</v>
      </c>
      <c r="X2947" s="204" t="s">
        <v>2276</v>
      </c>
      <c r="Y2947" s="204" t="s">
        <v>2276</v>
      </c>
      <c r="Z2947" s="204" t="s">
        <v>38</v>
      </c>
      <c r="AA2947" s="204" t="s">
        <v>425</v>
      </c>
      <c r="AB2947" s="204" t="s">
        <v>64</v>
      </c>
      <c r="AC2947" s="204"/>
      <c r="AD2947" s="204"/>
    </row>
    <row r="2948" spans="1:30" ht="45.5" customHeight="1">
      <c r="A2948" s="19" t="s">
        <v>7941</v>
      </c>
      <c r="B2948" s="19" t="s">
        <v>7970</v>
      </c>
      <c r="C2948" s="204" t="s">
        <v>24</v>
      </c>
      <c r="D2948" s="204" t="s">
        <v>25</v>
      </c>
      <c r="E2948" s="204" t="s">
        <v>45</v>
      </c>
      <c r="F2948" s="4" t="s">
        <v>2662</v>
      </c>
      <c r="G2948" s="4" t="s">
        <v>2662</v>
      </c>
      <c r="H2948" s="204" t="s">
        <v>523</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38</v>
      </c>
      <c r="AA2948" s="204" t="s">
        <v>425</v>
      </c>
      <c r="AB2948" s="204" t="s">
        <v>64</v>
      </c>
      <c r="AC2948" s="204"/>
      <c r="AD2948" s="204"/>
    </row>
    <row r="2949" spans="1:30" ht="45.5" customHeight="1">
      <c r="A2949" s="19" t="s">
        <v>7941</v>
      </c>
      <c r="B2949" s="19" t="s">
        <v>7971</v>
      </c>
      <c r="C2949" s="204" t="s">
        <v>24</v>
      </c>
      <c r="D2949" s="204" t="s">
        <v>25</v>
      </c>
      <c r="E2949" s="204" t="s">
        <v>45</v>
      </c>
      <c r="F2949" s="4" t="s">
        <v>2662</v>
      </c>
      <c r="G2949" s="4" t="s">
        <v>2662</v>
      </c>
      <c r="H2949" s="204" t="s">
        <v>523</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38</v>
      </c>
      <c r="AA2949" s="204" t="s">
        <v>425</v>
      </c>
      <c r="AB2949" s="204" t="s">
        <v>64</v>
      </c>
      <c r="AC2949" s="204"/>
      <c r="AD2949" s="204"/>
    </row>
    <row r="2950" spans="1:30" ht="45.5" customHeight="1">
      <c r="A2950" s="19" t="s">
        <v>7941</v>
      </c>
      <c r="B2950" s="19" t="s">
        <v>7972</v>
      </c>
      <c r="C2950" s="204" t="s">
        <v>24</v>
      </c>
      <c r="D2950" s="204" t="s">
        <v>25</v>
      </c>
      <c r="E2950" s="204" t="s">
        <v>45</v>
      </c>
      <c r="F2950" s="4" t="s">
        <v>2662</v>
      </c>
      <c r="G2950" s="4" t="s">
        <v>2662</v>
      </c>
      <c r="H2950" s="204" t="s">
        <v>523</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04" t="s">
        <v>2276</v>
      </c>
      <c r="X2950" s="204" t="s">
        <v>2276</v>
      </c>
      <c r="Y2950" s="204" t="s">
        <v>2276</v>
      </c>
      <c r="Z2950" s="204" t="s">
        <v>38</v>
      </c>
      <c r="AA2950" s="204" t="s">
        <v>425</v>
      </c>
      <c r="AB2950" s="204" t="s">
        <v>64</v>
      </c>
      <c r="AC2950" s="204"/>
      <c r="AD2950" s="204"/>
    </row>
    <row r="2951" spans="1:30" ht="45.5" customHeight="1">
      <c r="A2951" s="19" t="s">
        <v>7941</v>
      </c>
      <c r="B2951" s="19" t="s">
        <v>7973</v>
      </c>
      <c r="C2951" s="204" t="s">
        <v>24</v>
      </c>
      <c r="D2951" s="204" t="s">
        <v>25</v>
      </c>
      <c r="E2951" s="204" t="s">
        <v>45</v>
      </c>
      <c r="F2951" s="4" t="s">
        <v>2662</v>
      </c>
      <c r="G2951" s="4" t="s">
        <v>2662</v>
      </c>
      <c r="H2951" s="204" t="s">
        <v>523</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04" t="s">
        <v>2276</v>
      </c>
      <c r="X2951" s="204" t="s">
        <v>2276</v>
      </c>
      <c r="Y2951" s="204" t="s">
        <v>2276</v>
      </c>
      <c r="Z2951" s="204" t="s">
        <v>38</v>
      </c>
      <c r="AA2951" s="204" t="s">
        <v>425</v>
      </c>
      <c r="AB2951" s="204" t="s">
        <v>64</v>
      </c>
      <c r="AC2951" s="204"/>
      <c r="AD2951" s="204"/>
    </row>
    <row r="2952" spans="1:30" ht="34" customHeight="1">
      <c r="A2952" s="19" t="s">
        <v>7976</v>
      </c>
      <c r="B2952" s="19" t="s">
        <v>7983</v>
      </c>
      <c r="C2952" s="204" t="s">
        <v>1105</v>
      </c>
      <c r="D2952" s="204" t="s">
        <v>1105</v>
      </c>
      <c r="E2952" s="204" t="s">
        <v>2276</v>
      </c>
      <c r="F2952" s="204" t="s">
        <v>2276</v>
      </c>
      <c r="G2952" s="204" t="s">
        <v>28</v>
      </c>
      <c r="H2952" s="204" t="s">
        <v>523</v>
      </c>
      <c r="I2952" s="204"/>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1">
        <f>0.98*0.28</f>
        <v>0.27440000000000003</v>
      </c>
      <c r="Y2952" s="204" t="s">
        <v>2276</v>
      </c>
      <c r="Z2952" s="204" t="s">
        <v>2276</v>
      </c>
      <c r="AA2952" s="204" t="s">
        <v>2276</v>
      </c>
      <c r="AB2952" s="204" t="s">
        <v>2276</v>
      </c>
      <c r="AC2952" s="204"/>
      <c r="AD2952" s="204"/>
    </row>
    <row r="2953" spans="1:30" ht="34" customHeight="1">
      <c r="A2953" s="19" t="s">
        <v>7977</v>
      </c>
      <c r="B2953" s="19" t="s">
        <v>7980</v>
      </c>
      <c r="C2953" s="204" t="s">
        <v>1105</v>
      </c>
      <c r="D2953" s="204" t="s">
        <v>1105</v>
      </c>
      <c r="E2953" s="204" t="s">
        <v>2276</v>
      </c>
      <c r="F2953" s="204" t="s">
        <v>2276</v>
      </c>
      <c r="G2953" s="204" t="s">
        <v>28</v>
      </c>
      <c r="H2953" s="204" t="s">
        <v>523</v>
      </c>
      <c r="I2953" s="204"/>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1">
        <f>AVERAGE(7.42, 6.06)*AVERAGE(0.4972, 0.1905)</f>
        <v>2.3175490000000001</v>
      </c>
      <c r="Y2953" s="204" t="s">
        <v>2276</v>
      </c>
      <c r="Z2953" s="204" t="s">
        <v>2276</v>
      </c>
      <c r="AA2953" s="204" t="s">
        <v>2276</v>
      </c>
      <c r="AB2953" s="204" t="s">
        <v>2276</v>
      </c>
      <c r="AC2953" s="204"/>
      <c r="AD2953" s="204"/>
    </row>
    <row r="2954" spans="1:30" ht="34" customHeight="1">
      <c r="A2954" s="19" t="s">
        <v>7976</v>
      </c>
      <c r="B2954" s="19" t="s">
        <v>7984</v>
      </c>
      <c r="C2954" s="204" t="s">
        <v>1105</v>
      </c>
      <c r="D2954" s="204" t="s">
        <v>1105</v>
      </c>
      <c r="E2954" s="204" t="s">
        <v>2276</v>
      </c>
      <c r="F2954" s="204" t="s">
        <v>2276</v>
      </c>
      <c r="G2954" s="204" t="s">
        <v>55</v>
      </c>
      <c r="H2954" s="204" t="s">
        <v>523</v>
      </c>
      <c r="I2954" s="204"/>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1">
        <f>0.681*0.98</f>
        <v>0.66738000000000008</v>
      </c>
      <c r="Y2954" s="204" t="s">
        <v>2276</v>
      </c>
      <c r="Z2954" s="204" t="s">
        <v>2276</v>
      </c>
      <c r="AA2954" s="204" t="s">
        <v>2276</v>
      </c>
      <c r="AB2954" s="204" t="s">
        <v>2276</v>
      </c>
      <c r="AC2954" s="204"/>
      <c r="AD2954" s="204"/>
    </row>
    <row r="2955" spans="1:30" ht="34" customHeight="1">
      <c r="A2955" s="19" t="s">
        <v>7977</v>
      </c>
      <c r="B2955" s="19" t="s">
        <v>7981</v>
      </c>
      <c r="C2955" s="204" t="s">
        <v>1105</v>
      </c>
      <c r="D2955" s="204" t="s">
        <v>1105</v>
      </c>
      <c r="E2955" s="204" t="s">
        <v>2276</v>
      </c>
      <c r="F2955" s="204" t="s">
        <v>2276</v>
      </c>
      <c r="G2955" s="204" t="s">
        <v>55</v>
      </c>
      <c r="H2955" s="204" t="s">
        <v>523</v>
      </c>
      <c r="I2955" s="204"/>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1">
        <f>AVERAGE(7.42, 6.06)*AVERAGE(0.4762, 0.7757)</f>
        <v>4.2189030000000001</v>
      </c>
      <c r="Y2955" s="204" t="s">
        <v>2276</v>
      </c>
      <c r="Z2955" s="204" t="s">
        <v>2276</v>
      </c>
      <c r="AA2955" s="204" t="s">
        <v>2276</v>
      </c>
      <c r="AB2955" s="204" t="s">
        <v>2276</v>
      </c>
      <c r="AC2955" s="204"/>
      <c r="AD2955" s="204"/>
    </row>
    <row r="2956" spans="1:30" ht="34" customHeight="1">
      <c r="A2956" s="19" t="s">
        <v>7977</v>
      </c>
      <c r="B2956" s="19" t="s">
        <v>7982</v>
      </c>
      <c r="C2956" s="204" t="s">
        <v>24</v>
      </c>
      <c r="D2956" s="204" t="s">
        <v>25</v>
      </c>
      <c r="E2956" s="204" t="s">
        <v>2647</v>
      </c>
      <c r="F2956" s="204" t="s">
        <v>55</v>
      </c>
      <c r="G2956" s="204" t="s">
        <v>55</v>
      </c>
      <c r="H2956" s="204" t="s">
        <v>523</v>
      </c>
      <c r="I2956" s="204"/>
      <c r="J2956" s="204" t="s">
        <v>2276</v>
      </c>
      <c r="K2956" s="204" t="s">
        <v>2276</v>
      </c>
      <c r="L2956" s="204" t="s">
        <v>2276</v>
      </c>
      <c r="M2956" s="204" t="s">
        <v>2276</v>
      </c>
      <c r="N2956" s="204" t="s">
        <v>2276</v>
      </c>
      <c r="O2956" s="204" t="s">
        <v>2276</v>
      </c>
      <c r="P2956" s="204" t="s">
        <v>2276</v>
      </c>
      <c r="Q2956" s="204" t="s">
        <v>2276</v>
      </c>
      <c r="R2956" s="21">
        <v>11.5</v>
      </c>
      <c r="S2956" s="204" t="s">
        <v>2276</v>
      </c>
      <c r="T2956" s="204" t="s">
        <v>2276</v>
      </c>
      <c r="U2956" s="204" t="s">
        <v>2276</v>
      </c>
      <c r="V2956" s="204" t="s">
        <v>2276</v>
      </c>
      <c r="W2956" s="204" t="s">
        <v>2276</v>
      </c>
      <c r="X2956" s="204" t="s">
        <v>2276</v>
      </c>
      <c r="Y2956" s="204" t="s">
        <v>2276</v>
      </c>
      <c r="Z2956" s="204" t="s">
        <v>2276</v>
      </c>
      <c r="AA2956" s="204" t="s">
        <v>2276</v>
      </c>
      <c r="AB2956" s="204" t="s">
        <v>2276</v>
      </c>
      <c r="AC2956" s="204"/>
      <c r="AD2956" s="204"/>
    </row>
    <row r="2957" spans="1:30" ht="34" customHeight="1">
      <c r="A2957" s="19" t="s">
        <v>7977</v>
      </c>
      <c r="B2957" s="19" t="s">
        <v>7985</v>
      </c>
      <c r="C2957" s="204" t="s">
        <v>24</v>
      </c>
      <c r="D2957" s="204" t="s">
        <v>2659</v>
      </c>
      <c r="E2957" s="204" t="s">
        <v>84</v>
      </c>
      <c r="F2957" s="204" t="s">
        <v>28</v>
      </c>
      <c r="G2957" s="204" t="s">
        <v>28</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t="s">
        <v>2276</v>
      </c>
      <c r="AB2957" s="204" t="s">
        <v>2276</v>
      </c>
      <c r="AC2957" s="204"/>
      <c r="AD2957" s="204"/>
    </row>
    <row r="2958" spans="1:30" ht="33" customHeight="1">
      <c r="A2958" s="19" t="s">
        <v>7977</v>
      </c>
      <c r="B2958" s="19" t="s">
        <v>7986</v>
      </c>
      <c r="C2958" s="204" t="s">
        <v>1105</v>
      </c>
      <c r="D2958" s="204" t="s">
        <v>1105</v>
      </c>
      <c r="E2958" s="204" t="s">
        <v>5801</v>
      </c>
      <c r="F2958" s="204" t="s">
        <v>55</v>
      </c>
      <c r="G2958" s="204" t="s">
        <v>55</v>
      </c>
      <c r="H2958" s="204" t="s">
        <v>523</v>
      </c>
      <c r="I2958" s="204"/>
      <c r="J2958" s="21">
        <f>0.425/100</f>
        <v>4.2500000000000003E-3</v>
      </c>
      <c r="K2958" s="204" t="s">
        <v>2276</v>
      </c>
      <c r="L2958" s="204" t="s">
        <v>2276</v>
      </c>
      <c r="M2958" s="204" t="s">
        <v>2276</v>
      </c>
      <c r="N2958" s="204" t="s">
        <v>2276</v>
      </c>
      <c r="O2958" s="204" t="s">
        <v>2276</v>
      </c>
      <c r="P2958" s="204" t="s">
        <v>2276</v>
      </c>
      <c r="Q2958" s="204" t="s">
        <v>2276</v>
      </c>
      <c r="R2958" s="21">
        <v>12</v>
      </c>
      <c r="S2958" s="204" t="s">
        <v>2276</v>
      </c>
      <c r="T2958" s="204" t="s">
        <v>2276</v>
      </c>
      <c r="U2958" s="204" t="s">
        <v>2276</v>
      </c>
      <c r="V2958" s="204" t="s">
        <v>2276</v>
      </c>
      <c r="W2958" s="204" t="s">
        <v>2276</v>
      </c>
      <c r="X2958" s="21">
        <v>6</v>
      </c>
      <c r="Y2958" s="204" t="s">
        <v>2276</v>
      </c>
      <c r="Z2958" s="204" t="s">
        <v>2276</v>
      </c>
      <c r="AA2958" s="204" t="s">
        <v>2276</v>
      </c>
      <c r="AB2958" s="204" t="s">
        <v>2276</v>
      </c>
      <c r="AC2958" s="204"/>
      <c r="AD2958" s="204"/>
    </row>
    <row r="2959" spans="1:30" ht="47.5" customHeight="1">
      <c r="A2959" s="19" t="s">
        <v>7991</v>
      </c>
      <c r="B2959" s="19" t="s">
        <v>7994</v>
      </c>
      <c r="C2959" s="204" t="s">
        <v>24</v>
      </c>
      <c r="D2959" s="204" t="s">
        <v>25</v>
      </c>
      <c r="E2959" s="204" t="s">
        <v>2647</v>
      </c>
      <c r="F2959" s="4" t="s">
        <v>29</v>
      </c>
      <c r="G2959" s="4" t="s">
        <v>29</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t="s">
        <v>2276</v>
      </c>
      <c r="AB2959" s="204" t="s">
        <v>2276</v>
      </c>
      <c r="AC2959" s="4" t="s">
        <v>7998</v>
      </c>
      <c r="AD2959" s="204"/>
    </row>
    <row r="2960" spans="1:30" ht="47.5" customHeight="1">
      <c r="A2960" s="19" t="s">
        <v>7991</v>
      </c>
      <c r="B2960" s="19" t="s">
        <v>7995</v>
      </c>
      <c r="C2960" s="204" t="s">
        <v>24</v>
      </c>
      <c r="D2960" s="204" t="s">
        <v>2804</v>
      </c>
      <c r="E2960" s="204" t="s">
        <v>2647</v>
      </c>
      <c r="F2960" s="4" t="s">
        <v>2662</v>
      </c>
      <c r="G2960" s="4" t="s">
        <v>2662</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t="s">
        <v>2276</v>
      </c>
      <c r="AB2960" s="204" t="s">
        <v>2276</v>
      </c>
      <c r="AC2960" s="4" t="s">
        <v>7998</v>
      </c>
      <c r="AD2960" s="204"/>
    </row>
    <row r="2961" spans="1:30" ht="47.5" customHeight="1">
      <c r="A2961" s="19" t="s">
        <v>7991</v>
      </c>
      <c r="B2961" s="19" t="s">
        <v>7996</v>
      </c>
      <c r="C2961" s="204" t="s">
        <v>24</v>
      </c>
      <c r="D2961" s="204" t="s">
        <v>25</v>
      </c>
      <c r="E2961" s="204" t="s">
        <v>45</v>
      </c>
      <c r="F2961" s="4" t="s">
        <v>29</v>
      </c>
      <c r="G2961" s="4" t="s">
        <v>29</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t="s">
        <v>2276</v>
      </c>
      <c r="AB2961" s="204" t="s">
        <v>2276</v>
      </c>
      <c r="AC2961" s="4" t="s">
        <v>7998</v>
      </c>
      <c r="AD2961" s="204"/>
    </row>
    <row r="2962" spans="1:30" ht="47.5" customHeight="1">
      <c r="A2962" s="19" t="s">
        <v>7991</v>
      </c>
      <c r="B2962" s="19" t="s">
        <v>7997</v>
      </c>
      <c r="C2962" s="204" t="s">
        <v>24</v>
      </c>
      <c r="D2962" s="204" t="s">
        <v>2804</v>
      </c>
      <c r="E2962" s="204" t="s">
        <v>45</v>
      </c>
      <c r="F2962" s="4" t="s">
        <v>2662</v>
      </c>
      <c r="G2962" s="4" t="s">
        <v>2662</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t="s">
        <v>2276</v>
      </c>
      <c r="AB2962" s="204" t="s">
        <v>2276</v>
      </c>
      <c r="AC2962" s="4" t="s">
        <v>7998</v>
      </c>
      <c r="AD2962" s="204"/>
    </row>
    <row r="2963" spans="1:30" ht="38" customHeight="1">
      <c r="A2963" s="19" t="s">
        <v>8000</v>
      </c>
      <c r="B2963" s="19" t="s">
        <v>8008</v>
      </c>
      <c r="C2963" s="204" t="s">
        <v>24</v>
      </c>
      <c r="D2963" s="204" t="s">
        <v>144</v>
      </c>
      <c r="E2963" s="204" t="s">
        <v>137</v>
      </c>
      <c r="F2963" s="4" t="s">
        <v>2662</v>
      </c>
      <c r="G2963" s="4" t="s">
        <v>2662</v>
      </c>
      <c r="H2963" s="204" t="s">
        <v>523</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t="s">
        <v>2276</v>
      </c>
      <c r="AB2963" s="204" t="s">
        <v>2276</v>
      </c>
      <c r="AC2963" s="204"/>
      <c r="AD2963" s="204"/>
    </row>
    <row r="2964" spans="1:30" ht="38" customHeight="1">
      <c r="A2964" s="19" t="s">
        <v>8006</v>
      </c>
      <c r="B2964" s="19" t="s">
        <v>8009</v>
      </c>
      <c r="C2964" s="204" t="s">
        <v>24</v>
      </c>
      <c r="D2964" s="204" t="s">
        <v>144</v>
      </c>
      <c r="E2964" s="204" t="s">
        <v>137</v>
      </c>
      <c r="F2964" s="4" t="s">
        <v>2662</v>
      </c>
      <c r="G2964" s="4" t="s">
        <v>2662</v>
      </c>
      <c r="H2964" s="204" t="s">
        <v>523</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t="s">
        <v>2276</v>
      </c>
      <c r="AB2964" s="204" t="s">
        <v>2276</v>
      </c>
      <c r="AC2964" s="204"/>
      <c r="AD2964" s="204"/>
    </row>
    <row r="2965" spans="1:30" ht="38" customHeight="1">
      <c r="A2965" s="19" t="s">
        <v>8007</v>
      </c>
      <c r="B2965" s="19" t="s">
        <v>8010</v>
      </c>
      <c r="C2965" s="204" t="s">
        <v>24</v>
      </c>
      <c r="D2965" s="204" t="s">
        <v>144</v>
      </c>
      <c r="E2965" s="204" t="s">
        <v>137</v>
      </c>
      <c r="F2965" s="4" t="s">
        <v>2662</v>
      </c>
      <c r="G2965" s="4" t="s">
        <v>2662</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t="s">
        <v>2276</v>
      </c>
      <c r="AB2965" s="204" t="s">
        <v>2276</v>
      </c>
      <c r="AC2965" s="204"/>
      <c r="AD2965" s="204"/>
    </row>
    <row r="2966" spans="1:30" ht="31" customHeight="1">
      <c r="A2966" s="19" t="s">
        <v>8013</v>
      </c>
      <c r="B2966" s="19" t="s">
        <v>8015</v>
      </c>
      <c r="C2966" s="204" t="s">
        <v>24</v>
      </c>
      <c r="D2966" s="204" t="s">
        <v>2804</v>
      </c>
      <c r="E2966" s="204" t="s">
        <v>45</v>
      </c>
      <c r="F2966" s="4" t="s">
        <v>2662</v>
      </c>
      <c r="G2966" s="4" t="s">
        <v>2662</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t="s">
        <v>2276</v>
      </c>
      <c r="AB2966" s="204" t="s">
        <v>2276</v>
      </c>
      <c r="AC2966" s="204"/>
      <c r="AD2966" s="204"/>
    </row>
    <row r="2967" spans="1:30" ht="31" customHeight="1">
      <c r="A2967" s="19" t="s">
        <v>8013</v>
      </c>
      <c r="B2967" s="19" t="s">
        <v>8016</v>
      </c>
      <c r="C2967" s="204" t="s">
        <v>2458</v>
      </c>
      <c r="D2967" s="204" t="s">
        <v>2804</v>
      </c>
      <c r="E2967" s="204" t="s">
        <v>45</v>
      </c>
      <c r="F2967" s="4" t="s">
        <v>2662</v>
      </c>
      <c r="G2967" s="4" t="s">
        <v>2662</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t="s">
        <v>2276</v>
      </c>
      <c r="AB2967" s="204" t="s">
        <v>2276</v>
      </c>
      <c r="AC2967" s="204"/>
      <c r="AD2967" s="204"/>
    </row>
    <row r="2968" spans="1:30" ht="41" customHeight="1">
      <c r="A2968" s="19" t="s">
        <v>8019</v>
      </c>
      <c r="B2968" s="19" t="s">
        <v>8023</v>
      </c>
      <c r="C2968" s="204" t="s">
        <v>24</v>
      </c>
      <c r="D2968" s="204" t="s">
        <v>144</v>
      </c>
      <c r="E2968" s="204" t="s">
        <v>137</v>
      </c>
      <c r="F2968" s="4" t="s">
        <v>2662</v>
      </c>
      <c r="G2968" s="4" t="s">
        <v>2662</v>
      </c>
      <c r="H2968" s="204" t="s">
        <v>524</v>
      </c>
      <c r="I2968" s="204"/>
      <c r="J2968" s="21">
        <v>0</v>
      </c>
      <c r="K2968" s="21">
        <v>0</v>
      </c>
      <c r="L2968" s="21">
        <v>0</v>
      </c>
      <c r="M2968" s="21">
        <v>0</v>
      </c>
      <c r="N2968" s="21">
        <v>0</v>
      </c>
      <c r="O2968" s="21">
        <v>0</v>
      </c>
      <c r="P2968" s="21">
        <v>0</v>
      </c>
      <c r="Q2968" s="21">
        <v>0</v>
      </c>
      <c r="R2968" s="21">
        <v>0</v>
      </c>
      <c r="S2968" s="21">
        <v>0</v>
      </c>
      <c r="T2968" s="21">
        <v>0</v>
      </c>
      <c r="U2968" s="21">
        <v>0</v>
      </c>
      <c r="V2968" s="21">
        <v>0</v>
      </c>
      <c r="W2968" s="21">
        <v>0</v>
      </c>
      <c r="X2968" s="204" t="s">
        <v>2276</v>
      </c>
      <c r="Y2968" s="204" t="s">
        <v>2276</v>
      </c>
      <c r="Z2968" s="204" t="s">
        <v>2276</v>
      </c>
      <c r="AA2968" s="204" t="s">
        <v>2276</v>
      </c>
      <c r="AB2968" s="204" t="s">
        <v>2276</v>
      </c>
      <c r="AC2968" s="204"/>
      <c r="AD2968" s="204"/>
    </row>
    <row r="2969" spans="1:30" ht="34.5" customHeight="1">
      <c r="A2969" s="19" t="s">
        <v>8020</v>
      </c>
      <c r="B2969" s="19" t="s">
        <v>8024</v>
      </c>
      <c r="C2969" s="204" t="s">
        <v>24</v>
      </c>
      <c r="D2969" s="204" t="s">
        <v>2804</v>
      </c>
      <c r="E2969" s="204" t="s">
        <v>45</v>
      </c>
      <c r="F2969" s="4" t="s">
        <v>2662</v>
      </c>
      <c r="G2969" s="4" t="s">
        <v>2662</v>
      </c>
      <c r="H2969" s="204" t="s">
        <v>523</v>
      </c>
      <c r="I2969" s="204"/>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1">
        <v>2</v>
      </c>
      <c r="Z2969" s="204" t="s">
        <v>405</v>
      </c>
      <c r="AA2969" s="204" t="s">
        <v>425</v>
      </c>
      <c r="AB2969" s="204" t="s">
        <v>2276</v>
      </c>
      <c r="AC2969" s="204"/>
      <c r="AD2969" s="204"/>
    </row>
    <row r="2970" spans="1:30" ht="30" customHeight="1">
      <c r="A2970" s="19" t="s">
        <v>8019</v>
      </c>
      <c r="B2970" s="19" t="s">
        <v>8027</v>
      </c>
      <c r="C2970" s="204" t="s">
        <v>24</v>
      </c>
      <c r="D2970" s="204" t="s">
        <v>2804</v>
      </c>
      <c r="E2970" s="204" t="s">
        <v>45</v>
      </c>
      <c r="F2970" s="4" t="s">
        <v>2662</v>
      </c>
      <c r="G2970" s="4" t="s">
        <v>2662</v>
      </c>
      <c r="H2970" s="204" t="s">
        <v>524</v>
      </c>
      <c r="I2970" s="204"/>
      <c r="J2970" s="21">
        <v>0</v>
      </c>
      <c r="K2970" s="21">
        <v>0</v>
      </c>
      <c r="L2970" s="21">
        <v>0</v>
      </c>
      <c r="M2970" s="21">
        <v>0</v>
      </c>
      <c r="N2970" s="21">
        <v>0</v>
      </c>
      <c r="O2970" s="21">
        <v>0</v>
      </c>
      <c r="P2970" s="21">
        <v>0</v>
      </c>
      <c r="Q2970" s="21">
        <v>0</v>
      </c>
      <c r="R2970" s="21">
        <v>0</v>
      </c>
      <c r="S2970" s="21">
        <v>0</v>
      </c>
      <c r="T2970" s="21">
        <v>0</v>
      </c>
      <c r="U2970" s="21">
        <v>0</v>
      </c>
      <c r="V2970" s="21">
        <v>0</v>
      </c>
      <c r="W2970" s="21">
        <v>0</v>
      </c>
      <c r="X2970" s="204" t="s">
        <v>2276</v>
      </c>
      <c r="Y2970" s="204" t="s">
        <v>2276</v>
      </c>
      <c r="Z2970" s="204" t="s">
        <v>2276</v>
      </c>
      <c r="AA2970" s="204" t="s">
        <v>2276</v>
      </c>
      <c r="AB2970" s="204" t="s">
        <v>2276</v>
      </c>
      <c r="AC2970" s="204"/>
      <c r="AD2970" s="204"/>
    </row>
    <row r="2971" spans="1:30" ht="35.5" customHeight="1">
      <c r="A2971" s="19" t="s">
        <v>8030</v>
      </c>
      <c r="B2971" s="19" t="s">
        <v>8033</v>
      </c>
      <c r="C2971" s="204" t="s">
        <v>24</v>
      </c>
      <c r="D2971" s="204" t="s">
        <v>1245</v>
      </c>
      <c r="E2971" s="204" t="s">
        <v>116</v>
      </c>
      <c r="F2971" s="4" t="s">
        <v>2662</v>
      </c>
      <c r="G2971" s="4" t="s">
        <v>2662</v>
      </c>
      <c r="H2971" s="204" t="s">
        <v>523</v>
      </c>
      <c r="I2971" s="204"/>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04" t="s">
        <v>2276</v>
      </c>
      <c r="Z2971" s="204" t="s">
        <v>404</v>
      </c>
      <c r="AA2971" s="204" t="s">
        <v>425</v>
      </c>
      <c r="AB2971" s="204" t="s">
        <v>2276</v>
      </c>
      <c r="AC2971" s="204"/>
      <c r="AD2971" s="204"/>
    </row>
    <row r="2972" spans="1:30" ht="36.5" customHeight="1">
      <c r="A2972" s="19" t="s">
        <v>8030</v>
      </c>
      <c r="B2972" s="19" t="s">
        <v>8036</v>
      </c>
      <c r="C2972" s="204" t="s">
        <v>24</v>
      </c>
      <c r="D2972" s="204" t="s">
        <v>406</v>
      </c>
      <c r="E2972" s="204" t="s">
        <v>116</v>
      </c>
      <c r="F2972" s="4" t="s">
        <v>2662</v>
      </c>
      <c r="G2972" s="4" t="s">
        <v>2662</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404</v>
      </c>
      <c r="AA2972" s="204" t="s">
        <v>425</v>
      </c>
      <c r="AB2972" s="204" t="s">
        <v>2276</v>
      </c>
      <c r="AC2972" s="204"/>
      <c r="AD2972" s="204"/>
    </row>
    <row r="2973" spans="1:30" ht="37.5" customHeight="1">
      <c r="A2973" s="19" t="s">
        <v>8038</v>
      </c>
      <c r="B2973" s="19" t="s">
        <v>8041</v>
      </c>
      <c r="C2973" s="204" t="s">
        <v>24</v>
      </c>
      <c r="D2973" s="204" t="s">
        <v>2804</v>
      </c>
      <c r="E2973" t="s">
        <v>2647</v>
      </c>
      <c r="F2973" s="4" t="s">
        <v>2662</v>
      </c>
      <c r="G2973" s="4" t="s">
        <v>2662</v>
      </c>
      <c r="H2973" s="204" t="s">
        <v>523</v>
      </c>
      <c r="I2973" s="204"/>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t="s">
        <v>2276</v>
      </c>
      <c r="AB2973" s="204" t="s">
        <v>2276</v>
      </c>
      <c r="AC2973" s="204"/>
      <c r="AD2973" s="204"/>
    </row>
    <row r="2974" spans="1:30" ht="37" customHeight="1">
      <c r="A2974" s="19" t="s">
        <v>8040</v>
      </c>
      <c r="B2974" s="19" t="s">
        <v>8042</v>
      </c>
      <c r="C2974" s="204" t="s">
        <v>24</v>
      </c>
      <c r="D2974" s="204" t="s">
        <v>2804</v>
      </c>
      <c r="E2974" s="204" t="s">
        <v>45</v>
      </c>
      <c r="F2974" s="4" t="s">
        <v>2662</v>
      </c>
      <c r="G2974" s="4" t="s">
        <v>2662</v>
      </c>
      <c r="H2974" s="204" t="s">
        <v>523</v>
      </c>
      <c r="I2974" s="204"/>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t="s">
        <v>2276</v>
      </c>
      <c r="AB2974" s="204" t="s">
        <v>2276</v>
      </c>
      <c r="AC2974" s="204"/>
      <c r="AD2974" s="204"/>
    </row>
    <row r="2975" spans="1:30" ht="33.5" customHeight="1">
      <c r="A2975" s="19" t="s">
        <v>8056</v>
      </c>
      <c r="B2975" s="19" t="s">
        <v>8057</v>
      </c>
      <c r="C2975" s="204" t="s">
        <v>24</v>
      </c>
      <c r="D2975" s="204" t="s">
        <v>25</v>
      </c>
      <c r="E2975" s="204" t="s">
        <v>45</v>
      </c>
      <c r="F2975" s="4" t="s">
        <v>29</v>
      </c>
      <c r="G2975" s="4" t="s">
        <v>29</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204"/>
      <c r="AD2975" s="204"/>
    </row>
    <row r="2976" spans="1:30" ht="33.5" customHeight="1">
      <c r="A2976" s="19" t="s">
        <v>8056</v>
      </c>
      <c r="B2976" s="19" t="s">
        <v>8058</v>
      </c>
      <c r="C2976" s="204" t="s">
        <v>24</v>
      </c>
      <c r="D2976" s="204" t="s">
        <v>143</v>
      </c>
      <c r="E2976" s="204" t="s">
        <v>45</v>
      </c>
      <c r="F2976" s="4" t="s">
        <v>74</v>
      </c>
      <c r="G2976" s="4" t="s">
        <v>74</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t="s">
        <v>2276</v>
      </c>
      <c r="AB2976" s="204" t="s">
        <v>2276</v>
      </c>
      <c r="AC2976" s="204"/>
      <c r="AD2976" s="204"/>
    </row>
    <row r="2977" spans="1:30" ht="35.5" customHeight="1">
      <c r="A2977" s="19" t="s">
        <v>8056</v>
      </c>
      <c r="B2977" s="19" t="s">
        <v>8059</v>
      </c>
      <c r="C2977" s="204" t="s">
        <v>2458</v>
      </c>
      <c r="D2977" s="204" t="s">
        <v>25</v>
      </c>
      <c r="E2977" s="204" t="s">
        <v>45</v>
      </c>
      <c r="F2977" s="4" t="s">
        <v>29</v>
      </c>
      <c r="G2977" s="4" t="s">
        <v>74</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4" t="s">
        <v>8060</v>
      </c>
      <c r="AD2977" s="204"/>
    </row>
    <row r="2978" spans="1:30" ht="46.5" customHeight="1">
      <c r="A2978" s="19" t="s">
        <v>8063</v>
      </c>
      <c r="B2978" s="19" t="s">
        <v>8065</v>
      </c>
      <c r="C2978" s="204" t="s">
        <v>24</v>
      </c>
      <c r="D2978" s="204" t="s">
        <v>144</v>
      </c>
      <c r="E2978" s="204" t="s">
        <v>137</v>
      </c>
      <c r="F2978" s="4" t="s">
        <v>2662</v>
      </c>
      <c r="G2978" s="4" t="s">
        <v>2662</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t="s">
        <v>2276</v>
      </c>
      <c r="AB2978" s="204" t="s">
        <v>2276</v>
      </c>
      <c r="AC2978" s="4"/>
      <c r="AD2978" s="204"/>
    </row>
    <row r="2979" spans="1:30" ht="44" customHeight="1">
      <c r="A2979" s="19" t="s">
        <v>8069</v>
      </c>
      <c r="B2979" s="19" t="s">
        <v>8072</v>
      </c>
      <c r="C2979" s="204" t="s">
        <v>24</v>
      </c>
      <c r="D2979" s="204" t="s">
        <v>25</v>
      </c>
      <c r="E2979" s="204" t="s">
        <v>45</v>
      </c>
      <c r="F2979" s="4" t="s">
        <v>2662</v>
      </c>
      <c r="G2979" s="4" t="s">
        <v>2276</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t="s">
        <v>2276</v>
      </c>
      <c r="AB2979" s="204" t="s">
        <v>2276</v>
      </c>
      <c r="AC2979" s="204"/>
      <c r="AD2979" s="204"/>
    </row>
    <row r="2980" spans="1:30" ht="39.5" customHeight="1">
      <c r="A2980" s="19" t="s">
        <v>8076</v>
      </c>
      <c r="B2980" s="19" t="s">
        <v>8077</v>
      </c>
      <c r="C2980" s="204" t="s">
        <v>24</v>
      </c>
      <c r="D2980" s="204" t="s">
        <v>25</v>
      </c>
      <c r="E2980" s="204" t="s">
        <v>45</v>
      </c>
      <c r="F2980" s="4" t="s">
        <v>2662</v>
      </c>
      <c r="G2980" s="4" t="s">
        <v>2276</v>
      </c>
      <c r="H2980" s="204" t="s">
        <v>523</v>
      </c>
      <c r="I2980" s="204"/>
      <c r="J2980" s="204" t="s">
        <v>2276</v>
      </c>
      <c r="K2980" s="21">
        <v>6.0000000000000001E-3</v>
      </c>
      <c r="L2980" s="204" t="s">
        <v>2276</v>
      </c>
      <c r="M2980" s="21">
        <v>96</v>
      </c>
      <c r="N2980" s="204" t="s">
        <v>2276</v>
      </c>
      <c r="O2980" s="204" t="s">
        <v>2276</v>
      </c>
      <c r="P2980" s="204" t="s">
        <v>2276</v>
      </c>
      <c r="Q2980" s="21">
        <v>4</v>
      </c>
      <c r="R2980" s="204" t="s">
        <v>2276</v>
      </c>
      <c r="S2980" s="204" t="s">
        <v>2276</v>
      </c>
      <c r="T2980" s="204" t="s">
        <v>2276</v>
      </c>
      <c r="U2980" s="204" t="s">
        <v>2276</v>
      </c>
      <c r="V2980" s="204" t="s">
        <v>2276</v>
      </c>
      <c r="W2980" s="204" t="s">
        <v>2276</v>
      </c>
      <c r="X2980" s="204" t="s">
        <v>2276</v>
      </c>
      <c r="Y2980" s="204" t="s">
        <v>2276</v>
      </c>
      <c r="Z2980" s="204" t="s">
        <v>2276</v>
      </c>
      <c r="AA2980" s="204" t="s">
        <v>2276</v>
      </c>
      <c r="AB2980" s="204" t="s">
        <v>2276</v>
      </c>
      <c r="AC2980" s="204"/>
      <c r="AD2980" s="4" t="s">
        <v>8080</v>
      </c>
    </row>
    <row r="2981" spans="1:30" ht="48.5" customHeight="1">
      <c r="A2981" s="19" t="s">
        <v>8076</v>
      </c>
      <c r="B2981" s="19" t="s">
        <v>8079</v>
      </c>
      <c r="C2981" s="204" t="s">
        <v>24</v>
      </c>
      <c r="D2981" s="204" t="s">
        <v>25</v>
      </c>
      <c r="E2981" s="4" t="s">
        <v>3855</v>
      </c>
      <c r="F2981" s="4" t="s">
        <v>2662</v>
      </c>
      <c r="G2981" s="4" t="s">
        <v>2276</v>
      </c>
      <c r="H2981" s="204" t="s">
        <v>523</v>
      </c>
      <c r="I2981" s="204"/>
      <c r="J2981" s="204" t="s">
        <v>2276</v>
      </c>
      <c r="K2981" s="21">
        <v>6.0000000000000001E-3</v>
      </c>
      <c r="L2981" s="204" t="s">
        <v>2276</v>
      </c>
      <c r="M2981" s="21">
        <v>96</v>
      </c>
      <c r="N2981" s="204" t="s">
        <v>2276</v>
      </c>
      <c r="O2981" s="204" t="s">
        <v>2276</v>
      </c>
      <c r="P2981" s="204" t="s">
        <v>2276</v>
      </c>
      <c r="Q2981" s="21">
        <v>4</v>
      </c>
      <c r="R2981" s="204" t="s">
        <v>2276</v>
      </c>
      <c r="S2981" s="204" t="s">
        <v>2276</v>
      </c>
      <c r="T2981" s="204" t="s">
        <v>2276</v>
      </c>
      <c r="U2981" s="204" t="s">
        <v>2276</v>
      </c>
      <c r="V2981" s="204" t="s">
        <v>2276</v>
      </c>
      <c r="W2981" s="204" t="s">
        <v>2276</v>
      </c>
      <c r="X2981" s="204" t="s">
        <v>2276</v>
      </c>
      <c r="Y2981" s="204" t="s">
        <v>2276</v>
      </c>
      <c r="Z2981" s="204" t="s">
        <v>2276</v>
      </c>
      <c r="AA2981" s="204" t="s">
        <v>2276</v>
      </c>
      <c r="AB2981" s="204" t="s">
        <v>2276</v>
      </c>
      <c r="AC2981" s="204"/>
      <c r="AD2981" s="4" t="s">
        <v>8080</v>
      </c>
    </row>
    <row r="2982" spans="1:30" ht="42" customHeight="1">
      <c r="A2982" s="19" t="s">
        <v>8082</v>
      </c>
      <c r="B2982" s="19" t="s">
        <v>8088</v>
      </c>
      <c r="C2982" s="204" t="s">
        <v>24</v>
      </c>
      <c r="D2982" s="204" t="s">
        <v>2804</v>
      </c>
      <c r="E2982" s="204" t="s">
        <v>5005</v>
      </c>
      <c r="F2982" s="4" t="s">
        <v>2662</v>
      </c>
      <c r="G2982" s="4" t="s">
        <v>2276</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04" t="s">
        <v>2276</v>
      </c>
      <c r="Z2982" s="204" t="s">
        <v>425</v>
      </c>
      <c r="AA2982" s="204" t="s">
        <v>68</v>
      </c>
      <c r="AB2982" s="204" t="s">
        <v>2276</v>
      </c>
      <c r="AC2982" s="4" t="s">
        <v>8093</v>
      </c>
      <c r="AD2982" s="204"/>
    </row>
    <row r="2983" spans="1:30" ht="51" customHeight="1">
      <c r="A2983" s="19" t="s">
        <v>8082</v>
      </c>
      <c r="B2983" s="19" t="s">
        <v>8091</v>
      </c>
      <c r="C2983" s="204" t="s">
        <v>24</v>
      </c>
      <c r="D2983" s="204" t="s">
        <v>2804</v>
      </c>
      <c r="E2983" s="4" t="s">
        <v>3854</v>
      </c>
      <c r="F2983" s="4" t="s">
        <v>55</v>
      </c>
      <c r="G2983" s="4" t="s">
        <v>2276</v>
      </c>
      <c r="H2983" s="204" t="s">
        <v>524</v>
      </c>
      <c r="I2983" s="204"/>
      <c r="J2983" s="21">
        <v>0</v>
      </c>
      <c r="K2983" s="21">
        <v>0</v>
      </c>
      <c r="L2983" s="21">
        <v>0</v>
      </c>
      <c r="M2983" s="21">
        <v>0</v>
      </c>
      <c r="N2983" s="21">
        <v>0</v>
      </c>
      <c r="O2983" s="21">
        <v>0</v>
      </c>
      <c r="P2983" s="21">
        <v>0</v>
      </c>
      <c r="Q2983" s="21">
        <v>0</v>
      </c>
      <c r="R2983" s="21">
        <v>0</v>
      </c>
      <c r="S2983" s="21">
        <v>0</v>
      </c>
      <c r="T2983" s="21">
        <v>0</v>
      </c>
      <c r="U2983" s="21">
        <v>0</v>
      </c>
      <c r="V2983" s="21">
        <v>0</v>
      </c>
      <c r="W2983" s="21">
        <v>0</v>
      </c>
      <c r="X2983" s="21">
        <v>0</v>
      </c>
      <c r="Y2983" s="204" t="s">
        <v>2276</v>
      </c>
      <c r="Z2983" s="204" t="s">
        <v>425</v>
      </c>
      <c r="AA2983" s="204" t="s">
        <v>68</v>
      </c>
      <c r="AB2983" s="204" t="s">
        <v>2276</v>
      </c>
      <c r="AC2983" s="4" t="s">
        <v>8092</v>
      </c>
      <c r="AD2983" s="204"/>
    </row>
    <row r="2984" spans="1:30" ht="53" customHeight="1">
      <c r="A2984" s="19" t="s">
        <v>8085</v>
      </c>
      <c r="B2984" s="19" t="s">
        <v>8090</v>
      </c>
      <c r="C2984" s="204" t="s">
        <v>24</v>
      </c>
      <c r="D2984" s="204" t="s">
        <v>2804</v>
      </c>
      <c r="E2984" s="204" t="s">
        <v>5005</v>
      </c>
      <c r="F2984" s="4" t="s">
        <v>2662</v>
      </c>
      <c r="G2984" s="4" t="s">
        <v>2276</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425</v>
      </c>
      <c r="AA2984" s="204" t="s">
        <v>68</v>
      </c>
      <c r="AB2984" s="204" t="s">
        <v>2276</v>
      </c>
      <c r="AC2984" s="4" t="s">
        <v>8093</v>
      </c>
      <c r="AD2984" s="204"/>
    </row>
    <row r="2985" spans="1:30" ht="53" customHeight="1">
      <c r="A2985" s="19" t="s">
        <v>8085</v>
      </c>
      <c r="B2985" s="19" t="s">
        <v>8089</v>
      </c>
      <c r="C2985" s="204" t="s">
        <v>24</v>
      </c>
      <c r="D2985" s="204" t="s">
        <v>2804</v>
      </c>
      <c r="E2985" s="4" t="s">
        <v>3854</v>
      </c>
      <c r="F2985" s="4" t="s">
        <v>2662</v>
      </c>
      <c r="G2985" s="4" t="s">
        <v>2276</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425</v>
      </c>
      <c r="AA2985" s="204" t="s">
        <v>68</v>
      </c>
      <c r="AB2985" s="204" t="s">
        <v>2276</v>
      </c>
      <c r="AC2985" s="4" t="s">
        <v>8094</v>
      </c>
      <c r="AD2985" s="204"/>
    </row>
    <row r="2986" spans="1:30" ht="47" customHeight="1">
      <c r="A2986" s="19" t="s">
        <v>8095</v>
      </c>
      <c r="B2986" s="19" t="s">
        <v>8096</v>
      </c>
      <c r="C2986" s="204" t="s">
        <v>24</v>
      </c>
      <c r="D2986" s="204" t="s">
        <v>27</v>
      </c>
      <c r="E2986" s="4" t="s">
        <v>397</v>
      </c>
      <c r="F2986" s="4" t="s">
        <v>55</v>
      </c>
      <c r="G2986" s="4" t="s">
        <v>2276</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1">
        <v>1</v>
      </c>
      <c r="Z2986" s="204" t="s">
        <v>38</v>
      </c>
      <c r="AA2986" s="204" t="s">
        <v>86</v>
      </c>
      <c r="AB2986" s="204" t="s">
        <v>64</v>
      </c>
      <c r="AC2986" s="204" t="s">
        <v>8101</v>
      </c>
      <c r="AD2986" s="204"/>
    </row>
    <row r="2987" spans="1:30" ht="44.5" customHeight="1">
      <c r="A2987" s="19" t="s">
        <v>8095</v>
      </c>
      <c r="B2987" s="19" t="s">
        <v>8102</v>
      </c>
      <c r="C2987" s="204" t="s">
        <v>24</v>
      </c>
      <c r="D2987" s="204" t="s">
        <v>2804</v>
      </c>
      <c r="E2987" s="4" t="s">
        <v>397</v>
      </c>
      <c r="F2987" s="4" t="s">
        <v>2662</v>
      </c>
      <c r="G2987" s="4" t="s">
        <v>2276</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86</v>
      </c>
      <c r="AA2987" s="204" t="s">
        <v>68</v>
      </c>
      <c r="AB2987" s="204" t="s">
        <v>2276</v>
      </c>
      <c r="AC2987" s="19" t="s">
        <v>8103</v>
      </c>
      <c r="AD2987" s="204"/>
    </row>
    <row r="2988" spans="1:30" ht="35" customHeight="1">
      <c r="A2988" s="19" t="s">
        <v>8104</v>
      </c>
      <c r="B2988" s="19" t="s">
        <v>8108</v>
      </c>
      <c r="C2988" s="204" t="s">
        <v>24</v>
      </c>
      <c r="D2988" s="204" t="s">
        <v>2804</v>
      </c>
      <c r="E2988" s="204" t="s">
        <v>45</v>
      </c>
      <c r="F2988" s="4" t="s">
        <v>2662</v>
      </c>
      <c r="G2988" s="4" t="s">
        <v>2276</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127</v>
      </c>
      <c r="AA2988" s="204" t="s">
        <v>38</v>
      </c>
      <c r="AB2988" s="204" t="s">
        <v>2276</v>
      </c>
      <c r="AC2988" s="204"/>
      <c r="AD2988" s="204"/>
    </row>
    <row r="2989" spans="1:30" ht="42" customHeight="1">
      <c r="A2989" s="19" t="s">
        <v>8104</v>
      </c>
      <c r="B2989" s="19" t="s">
        <v>8109</v>
      </c>
      <c r="C2989" s="204" t="s">
        <v>2458</v>
      </c>
      <c r="D2989" s="204" t="s">
        <v>2804</v>
      </c>
      <c r="E2989" s="204" t="s">
        <v>45</v>
      </c>
      <c r="F2989" s="4" t="s">
        <v>2662</v>
      </c>
      <c r="G2989" s="4" t="s">
        <v>2276</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127</v>
      </c>
      <c r="AA2989" s="204" t="s">
        <v>38</v>
      </c>
      <c r="AB2989" s="204" t="s">
        <v>2276</v>
      </c>
      <c r="AC2989" s="204"/>
      <c r="AD2989" s="204"/>
    </row>
    <row r="2990" spans="1:30" ht="35.5" customHeight="1">
      <c r="A2990" s="19" t="s">
        <v>8104</v>
      </c>
      <c r="B2990" s="19" t="s">
        <v>8113</v>
      </c>
      <c r="C2990" s="204" t="s">
        <v>24</v>
      </c>
      <c r="D2990" s="204" t="s">
        <v>144</v>
      </c>
      <c r="E2990" s="204" t="s">
        <v>137</v>
      </c>
      <c r="F2990" s="4" t="s">
        <v>2662</v>
      </c>
      <c r="G2990" s="4" t="s">
        <v>2276</v>
      </c>
      <c r="H2990" s="204" t="s">
        <v>524</v>
      </c>
      <c r="I2990" s="204"/>
      <c r="J2990" s="21">
        <v>0</v>
      </c>
      <c r="K2990" s="21">
        <v>0</v>
      </c>
      <c r="L2990" s="21">
        <v>0</v>
      </c>
      <c r="M2990" s="21">
        <v>0</v>
      </c>
      <c r="N2990" s="21">
        <v>0</v>
      </c>
      <c r="O2990" s="21">
        <v>0</v>
      </c>
      <c r="P2990" s="21">
        <v>0</v>
      </c>
      <c r="Q2990" s="21">
        <v>0</v>
      </c>
      <c r="R2990" s="21">
        <v>0</v>
      </c>
      <c r="S2990" s="21">
        <v>0</v>
      </c>
      <c r="T2990" s="21">
        <v>0</v>
      </c>
      <c r="U2990" s="21">
        <v>0</v>
      </c>
      <c r="V2990" s="21">
        <v>0</v>
      </c>
      <c r="W2990" s="21">
        <v>0</v>
      </c>
      <c r="X2990" s="21">
        <v>0</v>
      </c>
      <c r="Y2990" s="204" t="s">
        <v>2276</v>
      </c>
      <c r="Z2990" s="204" t="s">
        <v>2276</v>
      </c>
      <c r="AA2990" s="204" t="s">
        <v>2276</v>
      </c>
      <c r="AB2990" s="204" t="s">
        <v>2276</v>
      </c>
      <c r="AC2990" s="204"/>
      <c r="AD2990" s="204"/>
    </row>
    <row r="2991" spans="1:30" ht="28" customHeight="1">
      <c r="A2991" s="19" t="s">
        <v>8115</v>
      </c>
      <c r="B2991" s="19" t="s">
        <v>8125</v>
      </c>
      <c r="C2991" s="204" t="s">
        <v>1105</v>
      </c>
      <c r="D2991" s="204" t="s">
        <v>1105</v>
      </c>
      <c r="E2991" s="204" t="s">
        <v>1105</v>
      </c>
      <c r="F2991" s="204" t="s">
        <v>1105</v>
      </c>
      <c r="G2991" s="4" t="s">
        <v>74</v>
      </c>
      <c r="H2991" s="204" t="s">
        <v>523</v>
      </c>
      <c r="I2991" s="204"/>
      <c r="J2991" s="21">
        <f>100*45/27884</f>
        <v>0.16138287189786257</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t="s">
        <v>2276</v>
      </c>
      <c r="AB2991" s="204" t="s">
        <v>2276</v>
      </c>
      <c r="AC2991" s="204"/>
      <c r="AD2991" s="204"/>
    </row>
    <row r="2992" spans="1:30" ht="28" customHeight="1">
      <c r="A2992" s="19" t="s">
        <v>8122</v>
      </c>
      <c r="B2992" s="19" t="s">
        <v>8126</v>
      </c>
      <c r="C2992" s="204" t="s">
        <v>1105</v>
      </c>
      <c r="D2992" s="204" t="s">
        <v>1105</v>
      </c>
      <c r="E2992" s="204" t="s">
        <v>1105</v>
      </c>
      <c r="F2992" s="204" t="s">
        <v>1105</v>
      </c>
      <c r="G2992" s="4" t="s">
        <v>74</v>
      </c>
      <c r="H2992" s="204" t="s">
        <v>523</v>
      </c>
      <c r="I2992" s="204"/>
      <c r="J2992" s="21">
        <f>100*152/50640</f>
        <v>0.30015797788309639</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t="s">
        <v>2276</v>
      </c>
      <c r="AB2992" s="204" t="s">
        <v>2276</v>
      </c>
      <c r="AC2992" s="204"/>
      <c r="AD2992" s="204"/>
    </row>
    <row r="2993" spans="1:30" ht="28" customHeight="1">
      <c r="A2993" s="19" t="s">
        <v>8123</v>
      </c>
      <c r="B2993" s="19" t="s">
        <v>8127</v>
      </c>
      <c r="C2993" s="204" t="s">
        <v>1105</v>
      </c>
      <c r="D2993" s="204" t="s">
        <v>1105</v>
      </c>
      <c r="E2993" s="204" t="s">
        <v>1105</v>
      </c>
      <c r="F2993" s="204" t="s">
        <v>1105</v>
      </c>
      <c r="G2993" s="4" t="s">
        <v>74</v>
      </c>
      <c r="H2993" s="204" t="s">
        <v>523</v>
      </c>
      <c r="I2993" s="204"/>
      <c r="J2993" s="21">
        <f>100*68/24975</f>
        <v>0.2722722722722723</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t="s">
        <v>2276</v>
      </c>
      <c r="AB2993" s="204" t="s">
        <v>2276</v>
      </c>
      <c r="AC2993" s="204"/>
      <c r="AD2993" s="204"/>
    </row>
    <row r="2994" spans="1:30" ht="28" customHeight="1">
      <c r="A2994" s="19" t="s">
        <v>8124</v>
      </c>
      <c r="B2994" s="19" t="s">
        <v>8128</v>
      </c>
      <c r="C2994" s="204" t="s">
        <v>1105</v>
      </c>
      <c r="D2994" s="204" t="s">
        <v>1105</v>
      </c>
      <c r="E2994" s="204" t="s">
        <v>1105</v>
      </c>
      <c r="F2994" s="204" t="s">
        <v>1105</v>
      </c>
      <c r="G2994" s="4" t="s">
        <v>74</v>
      </c>
      <c r="H2994" s="204" t="s">
        <v>523</v>
      </c>
      <c r="I2994" s="204"/>
      <c r="J2994" s="21">
        <f>100*372/270000</f>
        <v>0.13777777777777778</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t="s">
        <v>2276</v>
      </c>
      <c r="AB2994" s="204" t="s">
        <v>2276</v>
      </c>
      <c r="AC2994" s="204"/>
      <c r="AD2994" s="204"/>
    </row>
    <row r="2995" spans="1:30" ht="42" customHeight="1">
      <c r="A2995" s="19" t="s">
        <v>8115</v>
      </c>
      <c r="B2995" s="19" t="s">
        <v>8129</v>
      </c>
      <c r="C2995" s="204" t="s">
        <v>2458</v>
      </c>
      <c r="D2995" s="4" t="s">
        <v>2231</v>
      </c>
      <c r="E2995" s="4" t="s">
        <v>396</v>
      </c>
      <c r="F2995" s="4" t="s">
        <v>160</v>
      </c>
      <c r="G2995" s="4" t="s">
        <v>74</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t="s">
        <v>2276</v>
      </c>
      <c r="AB2995" s="204" t="s">
        <v>2276</v>
      </c>
      <c r="AC2995" s="204"/>
      <c r="AD2995" s="204"/>
    </row>
    <row r="2996" spans="1:30" ht="42" customHeight="1">
      <c r="A2996" s="19" t="s">
        <v>8115</v>
      </c>
      <c r="B2996" s="19" t="s">
        <v>8130</v>
      </c>
      <c r="C2996" s="204" t="s">
        <v>2458</v>
      </c>
      <c r="D2996" s="204" t="s">
        <v>2659</v>
      </c>
      <c r="E2996" s="4" t="s">
        <v>396</v>
      </c>
      <c r="F2996" s="4" t="s">
        <v>28</v>
      </c>
      <c r="G2996" s="4" t="s">
        <v>74</v>
      </c>
      <c r="H2996" s="204" t="s">
        <v>523</v>
      </c>
      <c r="I2996" s="204"/>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204" t="s">
        <v>2276</v>
      </c>
      <c r="AB2996" s="204" t="s">
        <v>2276</v>
      </c>
      <c r="AC2996" s="4" t="s">
        <v>8136</v>
      </c>
      <c r="AD2996" s="204"/>
    </row>
    <row r="2997" spans="1:30" ht="29.5" customHeight="1">
      <c r="A2997" s="19" t="s">
        <v>8115</v>
      </c>
      <c r="B2997" s="19" t="s">
        <v>8131</v>
      </c>
      <c r="C2997" s="204" t="s">
        <v>31</v>
      </c>
      <c r="D2997" s="204" t="s">
        <v>30</v>
      </c>
      <c r="E2997" s="204" t="s">
        <v>1105</v>
      </c>
      <c r="F2997" s="4" t="s">
        <v>2276</v>
      </c>
      <c r="G2997" s="4" t="s">
        <v>74</v>
      </c>
      <c r="H2997" s="204" t="s">
        <v>523</v>
      </c>
      <c r="I2997" s="204"/>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t="s">
        <v>2276</v>
      </c>
      <c r="AB2997" s="204" t="s">
        <v>2276</v>
      </c>
      <c r="AC2997" s="204"/>
      <c r="AD2997" s="204"/>
    </row>
    <row r="2998" spans="1:30" ht="29.5" customHeight="1">
      <c r="A2998" s="19" t="s">
        <v>8115</v>
      </c>
      <c r="B2998" s="19" t="s">
        <v>8132</v>
      </c>
      <c r="C2998" s="204" t="s">
        <v>31</v>
      </c>
      <c r="D2998" s="204" t="s">
        <v>30</v>
      </c>
      <c r="E2998" s="204" t="s">
        <v>2653</v>
      </c>
      <c r="F2998" s="4" t="s">
        <v>2276</v>
      </c>
      <c r="G2998" s="4" t="s">
        <v>74</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t="s">
        <v>2276</v>
      </c>
      <c r="AB2998" s="204" t="s">
        <v>2276</v>
      </c>
      <c r="AC2998" s="204"/>
      <c r="AD2998" s="204"/>
    </row>
    <row r="2999" spans="1:30" ht="29.5" customHeight="1">
      <c r="A2999" s="19" t="s">
        <v>8115</v>
      </c>
      <c r="B2999" s="19" t="s">
        <v>8133</v>
      </c>
      <c r="C2999" s="204" t="s">
        <v>24</v>
      </c>
      <c r="D2999" s="204" t="s">
        <v>143</v>
      </c>
      <c r="E2999" s="204" t="s">
        <v>45</v>
      </c>
      <c r="F2999" s="4" t="s">
        <v>74</v>
      </c>
      <c r="G2999" s="4" t="s">
        <v>74</v>
      </c>
      <c r="H2999" s="204" t="s">
        <v>523</v>
      </c>
      <c r="I2999" s="204"/>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t="s">
        <v>2276</v>
      </c>
      <c r="AB2999" s="204" t="s">
        <v>2276</v>
      </c>
      <c r="AC2999" s="204"/>
      <c r="AD2999" s="204"/>
    </row>
    <row r="3000" spans="1:30" ht="29.5" customHeight="1">
      <c r="A3000" s="19" t="s">
        <v>8115</v>
      </c>
      <c r="B3000" s="19" t="s">
        <v>8134</v>
      </c>
      <c r="C3000" s="204" t="s">
        <v>2458</v>
      </c>
      <c r="D3000" s="204" t="s">
        <v>25</v>
      </c>
      <c r="E3000" s="204" t="s">
        <v>45</v>
      </c>
      <c r="F3000" s="4" t="s">
        <v>29</v>
      </c>
      <c r="G3000" s="4" t="s">
        <v>74</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t="s">
        <v>2276</v>
      </c>
      <c r="AB3000" s="204" t="s">
        <v>2276</v>
      </c>
      <c r="AC3000" s="204"/>
      <c r="AD3000" s="204"/>
    </row>
    <row r="3001" spans="1:30" ht="29.5" customHeight="1">
      <c r="A3001" s="19" t="s">
        <v>8115</v>
      </c>
      <c r="B3001" s="19" t="s">
        <v>8135</v>
      </c>
      <c r="C3001" s="204" t="s">
        <v>24</v>
      </c>
      <c r="D3001" s="204" t="s">
        <v>2346</v>
      </c>
      <c r="E3001" s="204" t="s">
        <v>1105</v>
      </c>
      <c r="F3001" s="4" t="s">
        <v>28</v>
      </c>
      <c r="G3001" s="4" t="s">
        <v>74</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t="s">
        <v>2276</v>
      </c>
      <c r="AB3001" s="204" t="s">
        <v>2276</v>
      </c>
      <c r="AC3001" s="204"/>
      <c r="AD3001" s="204"/>
    </row>
    <row r="3002" spans="1:30" ht="30" customHeight="1">
      <c r="A3002" s="19" t="s">
        <v>8122</v>
      </c>
      <c r="B3002" s="19" t="s">
        <v>8137</v>
      </c>
      <c r="C3002" s="204" t="s">
        <v>24</v>
      </c>
      <c r="D3002" s="204" t="s">
        <v>2346</v>
      </c>
      <c r="E3002" s="204" t="s">
        <v>3209</v>
      </c>
      <c r="F3002" s="4" t="s">
        <v>74</v>
      </c>
      <c r="G3002" s="4" t="s">
        <v>74</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t="s">
        <v>2276</v>
      </c>
      <c r="AB3002" s="204" t="s">
        <v>2276</v>
      </c>
      <c r="AC3002" s="204"/>
      <c r="AD3002" s="204"/>
    </row>
    <row r="3003" spans="1:30" ht="30" customHeight="1">
      <c r="A3003" s="19" t="s">
        <v>8122</v>
      </c>
      <c r="B3003" s="19" t="s">
        <v>8138</v>
      </c>
      <c r="C3003" s="4" t="s">
        <v>2458</v>
      </c>
      <c r="D3003" s="4" t="s">
        <v>2659</v>
      </c>
      <c r="E3003" s="4" t="s">
        <v>396</v>
      </c>
      <c r="F3003" s="4" t="s">
        <v>28</v>
      </c>
      <c r="G3003" s="4" t="s">
        <v>74</v>
      </c>
      <c r="H3003" s="204" t="s">
        <v>523</v>
      </c>
      <c r="I3003" s="204"/>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t="s">
        <v>2276</v>
      </c>
      <c r="AB3003" s="204" t="s">
        <v>2276</v>
      </c>
      <c r="AC3003" s="204"/>
      <c r="AD3003" s="204"/>
    </row>
    <row r="3004" spans="1:30" ht="30" customHeight="1">
      <c r="A3004" s="19" t="s">
        <v>8122</v>
      </c>
      <c r="B3004" s="19" t="s">
        <v>8139</v>
      </c>
      <c r="C3004" s="4" t="s">
        <v>24</v>
      </c>
      <c r="D3004" s="4" t="s">
        <v>2346</v>
      </c>
      <c r="E3004" s="4" t="s">
        <v>396</v>
      </c>
      <c r="F3004" s="4" t="s">
        <v>74</v>
      </c>
      <c r="G3004" s="4" t="s">
        <v>74</v>
      </c>
      <c r="H3004" s="204" t="s">
        <v>523</v>
      </c>
      <c r="I3004" s="204"/>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30" customHeight="1">
      <c r="A3005" s="19" t="s">
        <v>8122</v>
      </c>
      <c r="B3005" s="19" t="s">
        <v>8140</v>
      </c>
      <c r="C3005" s="4" t="s">
        <v>24</v>
      </c>
      <c r="D3005" s="4" t="s">
        <v>2346</v>
      </c>
      <c r="E3005" s="4" t="s">
        <v>396</v>
      </c>
      <c r="F3005" s="4" t="s">
        <v>28</v>
      </c>
      <c r="G3005" s="4" t="s">
        <v>74</v>
      </c>
      <c r="H3005" s="204" t="s">
        <v>523</v>
      </c>
      <c r="I3005" s="204"/>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30" customHeight="1">
      <c r="A3006" s="19" t="s">
        <v>8122</v>
      </c>
      <c r="B3006" s="19" t="s">
        <v>8141</v>
      </c>
      <c r="C3006" s="4" t="s">
        <v>2458</v>
      </c>
      <c r="D3006" s="4" t="s">
        <v>2231</v>
      </c>
      <c r="E3006" s="4" t="s">
        <v>396</v>
      </c>
      <c r="F3006" s="4" t="s">
        <v>160</v>
      </c>
      <c r="G3006" s="4" t="s">
        <v>74</v>
      </c>
      <c r="H3006" s="204" t="s">
        <v>523</v>
      </c>
      <c r="I3006" s="204"/>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46" customHeight="1">
      <c r="A3007" s="19" t="s">
        <v>8123</v>
      </c>
      <c r="B3007" s="19" t="s">
        <v>8142</v>
      </c>
      <c r="C3007" s="4" t="s">
        <v>2458</v>
      </c>
      <c r="D3007" s="4" t="s">
        <v>2659</v>
      </c>
      <c r="E3007" s="4" t="s">
        <v>396</v>
      </c>
      <c r="F3007" s="4" t="s">
        <v>28</v>
      </c>
      <c r="G3007" s="4" t="s">
        <v>74</v>
      </c>
      <c r="H3007" s="204" t="s">
        <v>523</v>
      </c>
      <c r="I3007" s="204"/>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42" customHeight="1">
      <c r="A3008" s="19" t="s">
        <v>8123</v>
      </c>
      <c r="B3008" s="19" t="s">
        <v>8143</v>
      </c>
      <c r="C3008" s="204" t="s">
        <v>24</v>
      </c>
      <c r="D3008" s="204" t="s">
        <v>2346</v>
      </c>
      <c r="E3008" s="204" t="s">
        <v>3209</v>
      </c>
      <c r="F3008" s="4" t="s">
        <v>74</v>
      </c>
      <c r="G3008" s="4" t="s">
        <v>74</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2" customHeight="1">
      <c r="A3009" s="19" t="s">
        <v>8123</v>
      </c>
      <c r="B3009" s="19" t="s">
        <v>8144</v>
      </c>
      <c r="C3009" s="204" t="s">
        <v>2656</v>
      </c>
      <c r="D3009" s="204" t="s">
        <v>2276</v>
      </c>
      <c r="E3009" s="204" t="s">
        <v>2276</v>
      </c>
      <c r="F3009" s="204" t="s">
        <v>2276</v>
      </c>
      <c r="G3009" s="4" t="s">
        <v>74</v>
      </c>
      <c r="H3009" s="204" t="s">
        <v>523</v>
      </c>
      <c r="I3009" s="204"/>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t="s">
        <v>2276</v>
      </c>
      <c r="AB3009" s="204" t="s">
        <v>2276</v>
      </c>
      <c r="AC3009" s="204"/>
      <c r="AD3009" s="204"/>
    </row>
    <row r="3010" spans="1:30" ht="42" customHeight="1">
      <c r="A3010" s="19" t="s">
        <v>8123</v>
      </c>
      <c r="B3010" s="19" t="s">
        <v>8145</v>
      </c>
      <c r="C3010" s="4" t="s">
        <v>2458</v>
      </c>
      <c r="D3010" s="204" t="s">
        <v>25</v>
      </c>
      <c r="E3010" s="204" t="s">
        <v>45</v>
      </c>
      <c r="F3010" s="4" t="s">
        <v>29</v>
      </c>
      <c r="G3010" s="4" t="s">
        <v>74</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t="s">
        <v>2276</v>
      </c>
      <c r="AB3010" s="204" t="s">
        <v>2276</v>
      </c>
      <c r="AC3010" s="204"/>
      <c r="AD3010" s="204"/>
    </row>
    <row r="3011" spans="1:30" ht="42" customHeight="1">
      <c r="A3011" s="19" t="s">
        <v>8123</v>
      </c>
      <c r="B3011" s="19" t="s">
        <v>8146</v>
      </c>
      <c r="C3011" s="204" t="s">
        <v>24</v>
      </c>
      <c r="D3011" s="204" t="s">
        <v>2346</v>
      </c>
      <c r="E3011" s="4" t="s">
        <v>396</v>
      </c>
      <c r="F3011" s="4" t="s">
        <v>28</v>
      </c>
      <c r="G3011" s="4" t="s">
        <v>74</v>
      </c>
      <c r="H3011" s="204" t="s">
        <v>523</v>
      </c>
      <c r="I3011" s="204"/>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t="s">
        <v>2276</v>
      </c>
      <c r="AB3011" s="204" t="s">
        <v>2276</v>
      </c>
      <c r="AC3011" s="204"/>
      <c r="AD3011" s="204"/>
    </row>
    <row r="3012" spans="1:30" ht="41" customHeight="1">
      <c r="A3012" s="19" t="s">
        <v>8123</v>
      </c>
      <c r="B3012" s="19" t="s">
        <v>8147</v>
      </c>
      <c r="C3012" s="204" t="s">
        <v>24</v>
      </c>
      <c r="D3012" s="204" t="s">
        <v>2346</v>
      </c>
      <c r="E3012" s="4" t="s">
        <v>45</v>
      </c>
      <c r="F3012" s="4" t="s">
        <v>28</v>
      </c>
      <c r="G3012" s="4" t="s">
        <v>74</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t="s">
        <v>2276</v>
      </c>
      <c r="AB3012" s="204" t="s">
        <v>2276</v>
      </c>
      <c r="AC3012" s="204"/>
      <c r="AD3012" s="204"/>
    </row>
    <row r="3013" spans="1:30" ht="37" customHeight="1">
      <c r="A3013" s="19" t="s">
        <v>8124</v>
      </c>
      <c r="B3013" s="19" t="s">
        <v>8148</v>
      </c>
      <c r="C3013" s="204" t="s">
        <v>2458</v>
      </c>
      <c r="D3013" s="4" t="s">
        <v>2659</v>
      </c>
      <c r="E3013" s="4" t="s">
        <v>396</v>
      </c>
      <c r="F3013" s="4" t="s">
        <v>28</v>
      </c>
      <c r="G3013" s="4" t="s">
        <v>74</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t="s">
        <v>2276</v>
      </c>
      <c r="AB3013" s="204" t="s">
        <v>2276</v>
      </c>
      <c r="AC3013" s="204"/>
      <c r="AD3013" s="204"/>
    </row>
    <row r="3014" spans="1:30" ht="37" customHeight="1">
      <c r="A3014" s="19" t="s">
        <v>8124</v>
      </c>
      <c r="B3014" s="19" t="s">
        <v>8149</v>
      </c>
      <c r="C3014" s="204" t="s">
        <v>2458</v>
      </c>
      <c r="D3014" s="4" t="s">
        <v>2231</v>
      </c>
      <c r="E3014" s="4" t="s">
        <v>396</v>
      </c>
      <c r="F3014" s="4" t="s">
        <v>160</v>
      </c>
      <c r="G3014" s="4" t="s">
        <v>74</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7" customHeight="1">
      <c r="A3015" s="19" t="s">
        <v>8124</v>
      </c>
      <c r="B3015" s="19" t="s">
        <v>8150</v>
      </c>
      <c r="C3015" s="204" t="s">
        <v>24</v>
      </c>
      <c r="D3015" s="204" t="s">
        <v>2346</v>
      </c>
      <c r="E3015" s="204" t="s">
        <v>2276</v>
      </c>
      <c r="F3015" s="4" t="s">
        <v>74</v>
      </c>
      <c r="G3015" s="4" t="s">
        <v>74</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7" customHeight="1">
      <c r="A3016" s="19" t="s">
        <v>8124</v>
      </c>
      <c r="B3016" s="19" t="s">
        <v>8151</v>
      </c>
      <c r="C3016" s="204" t="s">
        <v>2458</v>
      </c>
      <c r="D3016" s="204" t="s">
        <v>25</v>
      </c>
      <c r="E3016" s="204" t="s">
        <v>45</v>
      </c>
      <c r="F3016" s="4" t="s">
        <v>29</v>
      </c>
      <c r="G3016" s="4" t="s">
        <v>74</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7" customHeight="1">
      <c r="A3017" s="19" t="s">
        <v>8124</v>
      </c>
      <c r="B3017" s="19" t="s">
        <v>8152</v>
      </c>
      <c r="C3017" s="204" t="s">
        <v>24</v>
      </c>
      <c r="D3017" s="204" t="s">
        <v>2346</v>
      </c>
      <c r="E3017" s="4" t="s">
        <v>396</v>
      </c>
      <c r="F3017" s="4" t="s">
        <v>28</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7" customHeight="1">
      <c r="A3018" s="19" t="s">
        <v>8124</v>
      </c>
      <c r="B3018" s="19" t="s">
        <v>8153</v>
      </c>
      <c r="C3018" s="204" t="s">
        <v>31</v>
      </c>
      <c r="D3018" s="204" t="s">
        <v>30</v>
      </c>
      <c r="E3018" s="204" t="s">
        <v>2653</v>
      </c>
      <c r="F3018" s="204" t="s">
        <v>2276</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204"/>
      <c r="AD3018" s="204"/>
    </row>
    <row r="3019" spans="1:30" ht="37" customHeight="1">
      <c r="A3019" s="19" t="s">
        <v>8124</v>
      </c>
      <c r="B3019" s="19" t="s">
        <v>8154</v>
      </c>
      <c r="C3019" s="204" t="s">
        <v>2656</v>
      </c>
      <c r="D3019" s="204" t="s">
        <v>2276</v>
      </c>
      <c r="E3019" s="204" t="s">
        <v>2276</v>
      </c>
      <c r="F3019" s="204" t="s">
        <v>2276</v>
      </c>
      <c r="G3019" s="4" t="s">
        <v>74</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204"/>
      <c r="AD3019" s="204"/>
    </row>
    <row r="3020" spans="1:30" ht="40" customHeight="1">
      <c r="A3020" s="19" t="s">
        <v>8158</v>
      </c>
      <c r="B3020" s="19" t="s">
        <v>8160</v>
      </c>
      <c r="C3020" s="204" t="s">
        <v>24</v>
      </c>
      <c r="D3020" s="204" t="s">
        <v>1245</v>
      </c>
      <c r="E3020" s="204" t="s">
        <v>116</v>
      </c>
      <c r="F3020" s="4" t="s">
        <v>2662</v>
      </c>
      <c r="G3020" s="4" t="s">
        <v>2662</v>
      </c>
      <c r="H3020" s="204" t="s">
        <v>523</v>
      </c>
      <c r="I3020" s="204"/>
      <c r="J3020" s="204" t="s">
        <v>2276</v>
      </c>
      <c r="K3020" s="21">
        <v>1</v>
      </c>
      <c r="L3020" s="204" t="s">
        <v>2276</v>
      </c>
      <c r="M3020" s="21">
        <v>10</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38</v>
      </c>
      <c r="AA3020" s="204" t="s">
        <v>68</v>
      </c>
      <c r="AB3020" s="204" t="s">
        <v>2276</v>
      </c>
      <c r="AC3020" s="4" t="s">
        <v>8165</v>
      </c>
      <c r="AD3020" s="204" t="s">
        <v>8161</v>
      </c>
    </row>
    <row r="3021" spans="1:30" ht="40" customHeight="1">
      <c r="A3021" s="19" t="s">
        <v>8158</v>
      </c>
      <c r="B3021" s="19" t="s">
        <v>8162</v>
      </c>
      <c r="C3021" s="204" t="s">
        <v>2656</v>
      </c>
      <c r="D3021" s="204" t="s">
        <v>2276</v>
      </c>
      <c r="E3021" s="204" t="s">
        <v>2276</v>
      </c>
      <c r="F3021" s="204" t="s">
        <v>2276</v>
      </c>
      <c r="G3021" s="4" t="s">
        <v>2662</v>
      </c>
      <c r="H3021" s="204" t="s">
        <v>523</v>
      </c>
      <c r="I3021" s="204"/>
      <c r="J3021" s="204" t="s">
        <v>2276</v>
      </c>
      <c r="K3021" s="204" t="s">
        <v>2276</v>
      </c>
      <c r="L3021" s="204" t="s">
        <v>2276</v>
      </c>
      <c r="M3021" s="204" t="s">
        <v>2276</v>
      </c>
      <c r="N3021" s="204" t="s">
        <v>2276</v>
      </c>
      <c r="O3021" s="204" t="s">
        <v>2276</v>
      </c>
      <c r="P3021" s="21">
        <v>189.4</v>
      </c>
      <c r="Q3021" s="204" t="s">
        <v>2276</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204" t="s">
        <v>7895</v>
      </c>
    </row>
    <row r="3022" spans="1:30" ht="32.5" customHeight="1">
      <c r="A3022" s="19" t="s">
        <v>8167</v>
      </c>
      <c r="B3022" s="19" t="s">
        <v>8171</v>
      </c>
      <c r="C3022" s="204" t="s">
        <v>24</v>
      </c>
      <c r="D3022" s="204" t="s">
        <v>1242</v>
      </c>
      <c r="E3022" s="204" t="s">
        <v>116</v>
      </c>
      <c r="F3022" s="4" t="s">
        <v>2662</v>
      </c>
      <c r="G3022" s="4" t="s">
        <v>2662</v>
      </c>
      <c r="H3022" s="204" t="s">
        <v>523</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68</v>
      </c>
      <c r="AA3022" s="204" t="s">
        <v>127</v>
      </c>
      <c r="AB3022" s="204" t="s">
        <v>2655</v>
      </c>
      <c r="AC3022" s="204"/>
      <c r="AD3022" s="204"/>
    </row>
    <row r="3023" spans="1:30" ht="33.5" customHeight="1">
      <c r="A3023" s="19" t="s">
        <v>8167</v>
      </c>
      <c r="B3023" s="19" t="s">
        <v>8172</v>
      </c>
      <c r="C3023" s="204" t="s">
        <v>24</v>
      </c>
      <c r="D3023" s="204" t="s">
        <v>1242</v>
      </c>
      <c r="E3023" s="204" t="s">
        <v>130</v>
      </c>
      <c r="F3023" s="4" t="s">
        <v>28</v>
      </c>
      <c r="G3023" s="204" t="s">
        <v>2276</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1">
        <v>1</v>
      </c>
      <c r="Z3023" s="204" t="s">
        <v>127</v>
      </c>
      <c r="AA3023" s="204" t="s">
        <v>399</v>
      </c>
      <c r="AB3023" s="204" t="s">
        <v>76</v>
      </c>
      <c r="AC3023" s="204"/>
      <c r="AD3023" s="204"/>
    </row>
    <row r="3024" spans="1:30" ht="43.5" customHeight="1">
      <c r="A3024" s="19" t="s">
        <v>8167</v>
      </c>
      <c r="B3024" s="19" t="s">
        <v>8173</v>
      </c>
      <c r="C3024" s="204" t="s">
        <v>24</v>
      </c>
      <c r="D3024" s="204" t="s">
        <v>25</v>
      </c>
      <c r="E3024" s="204" t="s">
        <v>45</v>
      </c>
      <c r="F3024" s="204" t="s">
        <v>2276</v>
      </c>
      <c r="G3024" s="4" t="s">
        <v>2662</v>
      </c>
      <c r="H3024" s="204" t="s">
        <v>523</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68</v>
      </c>
      <c r="AA3024" s="204" t="s">
        <v>127</v>
      </c>
      <c r="AB3024" s="204" t="s">
        <v>2276</v>
      </c>
      <c r="AC3024" s="204"/>
      <c r="AD3024" s="204"/>
    </row>
    <row r="3025" spans="1:30" ht="40" customHeight="1">
      <c r="A3025" s="19" t="s">
        <v>8167</v>
      </c>
      <c r="B3025" s="19" t="s">
        <v>8174</v>
      </c>
      <c r="C3025" s="204" t="s">
        <v>24</v>
      </c>
      <c r="D3025" s="204" t="s">
        <v>1245</v>
      </c>
      <c r="E3025" s="204" t="s">
        <v>116</v>
      </c>
      <c r="F3025" s="204" t="s">
        <v>2276</v>
      </c>
      <c r="G3025" s="4" t="s">
        <v>2662</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127</v>
      </c>
      <c r="AA3025" s="204" t="s">
        <v>127</v>
      </c>
      <c r="AB3025" s="204" t="s">
        <v>2276</v>
      </c>
      <c r="AC3025" s="204"/>
      <c r="AD3025" s="204"/>
    </row>
    <row r="3026" spans="1:30" ht="35.5" customHeight="1">
      <c r="A3026" s="19" t="s">
        <v>8167</v>
      </c>
      <c r="B3026" s="19" t="s">
        <v>8175</v>
      </c>
      <c r="C3026" s="204" t="s">
        <v>1105</v>
      </c>
      <c r="D3026" s="204" t="s">
        <v>1105</v>
      </c>
      <c r="E3026" s="204" t="s">
        <v>1105</v>
      </c>
      <c r="F3026" s="204" t="s">
        <v>2276</v>
      </c>
      <c r="G3026" s="4" t="s">
        <v>2662</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68</v>
      </c>
      <c r="AA3026" s="204" t="s">
        <v>68</v>
      </c>
      <c r="AB3026" s="204" t="s">
        <v>2276</v>
      </c>
      <c r="AC3026" s="204"/>
      <c r="AD3026" s="204"/>
    </row>
    <row r="3027" spans="1:30" ht="35.5" customHeight="1">
      <c r="A3027" s="19" t="s">
        <v>8167</v>
      </c>
      <c r="B3027" s="19" t="s">
        <v>8176</v>
      </c>
      <c r="C3027" s="204" t="s">
        <v>1105</v>
      </c>
      <c r="D3027" s="204" t="s">
        <v>1105</v>
      </c>
      <c r="E3027" s="204" t="s">
        <v>1105</v>
      </c>
      <c r="F3027" s="204" t="s">
        <v>2276</v>
      </c>
      <c r="G3027" s="4" t="s">
        <v>2662</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35</v>
      </c>
      <c r="AA3027" s="204" t="s">
        <v>35</v>
      </c>
      <c r="AB3027" s="204" t="s">
        <v>2276</v>
      </c>
      <c r="AC3027" s="204"/>
      <c r="AD3027" s="204"/>
    </row>
    <row r="3028" spans="1:30" ht="35.5" customHeight="1">
      <c r="A3028" s="19" t="s">
        <v>8167</v>
      </c>
      <c r="B3028" s="19" t="s">
        <v>8177</v>
      </c>
      <c r="C3028" s="204" t="s">
        <v>1105</v>
      </c>
      <c r="D3028" s="204" t="s">
        <v>1105</v>
      </c>
      <c r="E3028" s="204" t="s">
        <v>1105</v>
      </c>
      <c r="F3028" s="204" t="s">
        <v>2276</v>
      </c>
      <c r="G3028" s="4" t="s">
        <v>2662</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127</v>
      </c>
      <c r="AA3028" s="204" t="s">
        <v>127</v>
      </c>
      <c r="AB3028" s="204" t="s">
        <v>2276</v>
      </c>
      <c r="AC3028" s="204"/>
      <c r="AD3028" s="204"/>
    </row>
    <row r="3029" spans="1:30" ht="35.5" customHeight="1">
      <c r="A3029" s="19" t="s">
        <v>8167</v>
      </c>
      <c r="B3029" s="19" t="s">
        <v>8178</v>
      </c>
      <c r="C3029" s="204" t="s">
        <v>1105</v>
      </c>
      <c r="D3029" s="204" t="s">
        <v>1105</v>
      </c>
      <c r="E3029" s="204" t="s">
        <v>1105</v>
      </c>
      <c r="F3029" s="204" t="s">
        <v>2276</v>
      </c>
      <c r="G3029" s="4" t="s">
        <v>2662</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399</v>
      </c>
      <c r="AA3029" s="204" t="s">
        <v>399</v>
      </c>
      <c r="AB3029" s="204" t="s">
        <v>2276</v>
      </c>
      <c r="AC3029" s="204"/>
      <c r="AD3029" s="204"/>
    </row>
    <row r="3030" spans="1:30" ht="35.5" customHeight="1">
      <c r="A3030" s="19" t="s">
        <v>8167</v>
      </c>
      <c r="B3030" s="19" t="s">
        <v>8179</v>
      </c>
      <c r="C3030" s="204" t="s">
        <v>1105</v>
      </c>
      <c r="D3030" s="204" t="s">
        <v>1105</v>
      </c>
      <c r="E3030" s="204" t="s">
        <v>1105</v>
      </c>
      <c r="F3030" s="204" t="s">
        <v>2276</v>
      </c>
      <c r="G3030" s="4" t="s">
        <v>2662</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188</v>
      </c>
      <c r="AA3030" s="204" t="s">
        <v>188</v>
      </c>
      <c r="AB3030" s="204" t="s">
        <v>2276</v>
      </c>
      <c r="AC3030" s="204"/>
      <c r="AD3030" s="204"/>
    </row>
    <row r="3031" spans="1:30" ht="35.5" customHeight="1">
      <c r="A3031" s="19" t="s">
        <v>8167</v>
      </c>
      <c r="B3031" s="19" t="s">
        <v>8180</v>
      </c>
      <c r="C3031" s="204" t="s">
        <v>1105</v>
      </c>
      <c r="D3031" s="204" t="s">
        <v>1105</v>
      </c>
      <c r="E3031" s="204" t="s">
        <v>1105</v>
      </c>
      <c r="F3031" s="204" t="s">
        <v>2276</v>
      </c>
      <c r="G3031" s="4" t="s">
        <v>2662</v>
      </c>
      <c r="H3031" s="204" t="s">
        <v>523</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189</v>
      </c>
      <c r="AA3031" s="204" t="s">
        <v>189</v>
      </c>
      <c r="AB3031" s="204" t="s">
        <v>2276</v>
      </c>
      <c r="AC3031" s="204"/>
      <c r="AD3031" s="204"/>
    </row>
    <row r="3032" spans="1:30" ht="41" customHeight="1">
      <c r="A3032" s="19" t="s">
        <v>8168</v>
      </c>
      <c r="B3032" s="19" t="s">
        <v>8181</v>
      </c>
      <c r="C3032" s="204" t="s">
        <v>1105</v>
      </c>
      <c r="D3032" s="204" t="s">
        <v>1105</v>
      </c>
      <c r="E3032" s="204" t="s">
        <v>1105</v>
      </c>
      <c r="F3032" s="204" t="s">
        <v>2276</v>
      </c>
      <c r="G3032" s="4" t="s">
        <v>2662</v>
      </c>
      <c r="H3032" s="204" t="s">
        <v>523</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68</v>
      </c>
      <c r="AA3032" s="204" t="s">
        <v>68</v>
      </c>
      <c r="AB3032" s="204" t="s">
        <v>2276</v>
      </c>
      <c r="AC3032" s="204"/>
      <c r="AD3032" s="204"/>
    </row>
    <row r="3033" spans="1:30" ht="41" customHeight="1">
      <c r="A3033" s="19" t="s">
        <v>8168</v>
      </c>
      <c r="B3033" s="19" t="s">
        <v>8182</v>
      </c>
      <c r="C3033" s="204" t="s">
        <v>1105</v>
      </c>
      <c r="D3033" s="204" t="s">
        <v>1105</v>
      </c>
      <c r="E3033" s="204" t="s">
        <v>1105</v>
      </c>
      <c r="F3033" s="204" t="s">
        <v>2276</v>
      </c>
      <c r="G3033" s="4" t="s">
        <v>2662</v>
      </c>
      <c r="H3033" s="204" t="s">
        <v>523</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35</v>
      </c>
      <c r="AA3033" s="204" t="s">
        <v>35</v>
      </c>
      <c r="AB3033" s="204" t="s">
        <v>2276</v>
      </c>
      <c r="AC3033" s="204"/>
      <c r="AD3033" s="204"/>
    </row>
    <row r="3034" spans="1:30" ht="41" customHeight="1">
      <c r="A3034" s="19" t="s">
        <v>8168</v>
      </c>
      <c r="B3034" s="19" t="s">
        <v>8183</v>
      </c>
      <c r="C3034" s="204" t="s">
        <v>1105</v>
      </c>
      <c r="D3034" s="204" t="s">
        <v>1105</v>
      </c>
      <c r="E3034" s="204" t="s">
        <v>1105</v>
      </c>
      <c r="F3034" s="204" t="s">
        <v>2276</v>
      </c>
      <c r="G3034" s="4" t="s">
        <v>2662</v>
      </c>
      <c r="H3034" s="204" t="s">
        <v>523</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127</v>
      </c>
      <c r="AA3034" s="204" t="s">
        <v>127</v>
      </c>
      <c r="AB3034" s="204" t="s">
        <v>2276</v>
      </c>
      <c r="AC3034" s="204"/>
      <c r="AD3034" s="204"/>
    </row>
    <row r="3035" spans="1:30" ht="41" customHeight="1">
      <c r="A3035" s="19" t="s">
        <v>8168</v>
      </c>
      <c r="B3035" s="19" t="s">
        <v>8184</v>
      </c>
      <c r="C3035" s="204" t="s">
        <v>1105</v>
      </c>
      <c r="D3035" s="204" t="s">
        <v>1105</v>
      </c>
      <c r="E3035" s="204" t="s">
        <v>1105</v>
      </c>
      <c r="F3035" s="204" t="s">
        <v>2276</v>
      </c>
      <c r="G3035" s="4" t="s">
        <v>2662</v>
      </c>
      <c r="H3035" s="204" t="s">
        <v>523</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399</v>
      </c>
      <c r="AA3035" s="204" t="s">
        <v>399</v>
      </c>
      <c r="AB3035" s="204" t="s">
        <v>2276</v>
      </c>
      <c r="AC3035" s="204"/>
      <c r="AD3035" s="204"/>
    </row>
    <row r="3036" spans="1:30" ht="41" customHeight="1">
      <c r="A3036" s="19" t="s">
        <v>8168</v>
      </c>
      <c r="B3036" s="19" t="s">
        <v>8185</v>
      </c>
      <c r="C3036" s="204" t="s">
        <v>1105</v>
      </c>
      <c r="D3036" s="204" t="s">
        <v>1105</v>
      </c>
      <c r="E3036" s="204" t="s">
        <v>1105</v>
      </c>
      <c r="F3036" s="204" t="s">
        <v>2276</v>
      </c>
      <c r="G3036" s="4" t="s">
        <v>2662</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188</v>
      </c>
      <c r="AA3036" s="204" t="s">
        <v>188</v>
      </c>
      <c r="AB3036" s="204" t="s">
        <v>2276</v>
      </c>
      <c r="AC3036" s="204"/>
      <c r="AD3036" s="204"/>
    </row>
    <row r="3037" spans="1:30" ht="41" customHeight="1">
      <c r="A3037" s="19" t="s">
        <v>8168</v>
      </c>
      <c r="B3037" s="19" t="s">
        <v>8186</v>
      </c>
      <c r="C3037" s="204" t="s">
        <v>1105</v>
      </c>
      <c r="D3037" s="204" t="s">
        <v>1105</v>
      </c>
      <c r="E3037" s="204" t="s">
        <v>1105</v>
      </c>
      <c r="F3037" s="204" t="s">
        <v>2276</v>
      </c>
      <c r="G3037" s="4" t="s">
        <v>2662</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189</v>
      </c>
      <c r="AA3037" s="204" t="s">
        <v>189</v>
      </c>
      <c r="AB3037" s="204" t="s">
        <v>2276</v>
      </c>
      <c r="AC3037" s="204"/>
      <c r="AD3037" s="204"/>
    </row>
    <row r="3038" spans="1:30" ht="36.5" customHeight="1">
      <c r="A3038" s="19" t="s">
        <v>8168</v>
      </c>
      <c r="B3038" s="19" t="s">
        <v>8187</v>
      </c>
      <c r="C3038" s="204" t="s">
        <v>24</v>
      </c>
      <c r="D3038" s="204" t="s">
        <v>1242</v>
      </c>
      <c r="E3038" s="204" t="s">
        <v>116</v>
      </c>
      <c r="F3038" s="4" t="s">
        <v>2662</v>
      </c>
      <c r="G3038" s="4" t="s">
        <v>2662</v>
      </c>
      <c r="H3038" s="204" t="s">
        <v>524</v>
      </c>
      <c r="I3038" s="204"/>
      <c r="J3038" s="21">
        <v>0</v>
      </c>
      <c r="K3038" s="21">
        <v>0</v>
      </c>
      <c r="L3038" s="21">
        <v>0</v>
      </c>
      <c r="M3038" s="21">
        <v>0</v>
      </c>
      <c r="N3038" s="21">
        <v>0</v>
      </c>
      <c r="O3038" s="21">
        <v>0</v>
      </c>
      <c r="P3038" s="21">
        <v>0</v>
      </c>
      <c r="Q3038" s="21">
        <v>0</v>
      </c>
      <c r="R3038" s="21">
        <v>0</v>
      </c>
      <c r="S3038" s="21">
        <v>0</v>
      </c>
      <c r="T3038" s="21">
        <v>0</v>
      </c>
      <c r="U3038" s="21">
        <v>0</v>
      </c>
      <c r="V3038" s="21">
        <v>0</v>
      </c>
      <c r="W3038" s="21">
        <v>0</v>
      </c>
      <c r="X3038" s="21">
        <v>0</v>
      </c>
      <c r="Y3038" s="204" t="s">
        <v>2276</v>
      </c>
      <c r="Z3038" s="204" t="s">
        <v>68</v>
      </c>
      <c r="AA3038" s="204" t="s">
        <v>127</v>
      </c>
      <c r="AB3038" s="204" t="s">
        <v>2655</v>
      </c>
      <c r="AC3038" s="204"/>
      <c r="AD3038" s="204"/>
    </row>
    <row r="3039" spans="1:30" ht="36.5" customHeight="1">
      <c r="A3039" s="19" t="s">
        <v>8191</v>
      </c>
      <c r="B3039" s="19" t="s">
        <v>8194</v>
      </c>
      <c r="C3039" s="204" t="s">
        <v>2658</v>
      </c>
      <c r="D3039" s="204" t="s">
        <v>2276</v>
      </c>
      <c r="E3039" s="204" t="s">
        <v>2276</v>
      </c>
      <c r="F3039" s="4" t="s">
        <v>2276</v>
      </c>
      <c r="G3039" s="4" t="s">
        <v>2662</v>
      </c>
      <c r="H3039" s="204" t="s">
        <v>523</v>
      </c>
      <c r="I3039" s="204"/>
      <c r="J3039" s="204" t="s">
        <v>2276</v>
      </c>
      <c r="K3039" s="204" t="s">
        <v>2276</v>
      </c>
      <c r="L3039" s="204" t="s">
        <v>2276</v>
      </c>
      <c r="M3039" s="204" t="s">
        <v>2276</v>
      </c>
      <c r="N3039" s="21">
        <v>25728.41</v>
      </c>
      <c r="O3039" s="204" t="s">
        <v>2276</v>
      </c>
      <c r="P3039" s="21">
        <f>AVERAGE(25728.41, 18917.21)</f>
        <v>22322.809999999998</v>
      </c>
      <c r="Q3039" s="204" t="s">
        <v>2276</v>
      </c>
      <c r="R3039" s="204" t="s">
        <v>2276</v>
      </c>
      <c r="S3039" s="204" t="s">
        <v>2276</v>
      </c>
      <c r="T3039" s="204">
        <v>22322.809999999998</v>
      </c>
      <c r="U3039" s="204" t="s">
        <v>2276</v>
      </c>
      <c r="V3039" s="204" t="s">
        <v>2276</v>
      </c>
      <c r="W3039" s="204" t="s">
        <v>2276</v>
      </c>
      <c r="X3039" s="21">
        <f>13.4876132930514</f>
        <v>13.4876132930514</v>
      </c>
      <c r="Y3039" s="21">
        <v>12</v>
      </c>
      <c r="Z3039" s="204" t="s">
        <v>2276</v>
      </c>
      <c r="AA3039" s="204" t="s">
        <v>2276</v>
      </c>
      <c r="AB3039" s="204" t="s">
        <v>2276</v>
      </c>
      <c r="AC3039" s="4" t="s">
        <v>8196</v>
      </c>
      <c r="AD3039" s="204"/>
    </row>
    <row r="3040" spans="1:30" ht="33.5" customHeight="1">
      <c r="A3040" s="19" t="s">
        <v>8191</v>
      </c>
      <c r="B3040" s="19" t="s">
        <v>8195</v>
      </c>
      <c r="C3040" s="204" t="s">
        <v>24</v>
      </c>
      <c r="D3040" s="204" t="s">
        <v>1242</v>
      </c>
      <c r="E3040" s="204" t="s">
        <v>137</v>
      </c>
      <c r="F3040" s="4" t="s">
        <v>2662</v>
      </c>
      <c r="G3040" s="4" t="s">
        <v>2662</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38</v>
      </c>
      <c r="AA3040" s="204" t="s">
        <v>86</v>
      </c>
      <c r="AB3040" s="204" t="s">
        <v>64</v>
      </c>
      <c r="AC3040" s="204" t="s">
        <v>8199</v>
      </c>
      <c r="AD3040" s="4" t="s">
        <v>8197</v>
      </c>
    </row>
    <row r="3041" spans="1:30" ht="38" customHeight="1">
      <c r="A3041" s="19" t="s">
        <v>8202</v>
      </c>
      <c r="B3041" s="19" t="s">
        <v>8221</v>
      </c>
      <c r="C3041" s="204" t="s">
        <v>24</v>
      </c>
      <c r="D3041" s="204" t="s">
        <v>144</v>
      </c>
      <c r="E3041" s="204" t="s">
        <v>137</v>
      </c>
      <c r="F3041" s="204" t="s">
        <v>74</v>
      </c>
      <c r="G3041" s="4" t="s">
        <v>2276</v>
      </c>
      <c r="H3041" s="204" t="s">
        <v>524</v>
      </c>
      <c r="I3041" s="204"/>
      <c r="J3041" s="21">
        <v>0</v>
      </c>
      <c r="K3041" s="21">
        <v>0</v>
      </c>
      <c r="L3041" s="21">
        <v>0</v>
      </c>
      <c r="M3041" s="21">
        <v>0</v>
      </c>
      <c r="N3041" s="21">
        <v>0</v>
      </c>
      <c r="O3041" s="21">
        <v>0</v>
      </c>
      <c r="P3041" s="21">
        <v>0</v>
      </c>
      <c r="Q3041" s="21">
        <v>0</v>
      </c>
      <c r="R3041" s="21">
        <v>0</v>
      </c>
      <c r="S3041" s="21">
        <v>0</v>
      </c>
      <c r="T3041" s="21">
        <v>0</v>
      </c>
      <c r="U3041" s="21">
        <v>0</v>
      </c>
      <c r="V3041" s="21">
        <v>0</v>
      </c>
      <c r="W3041" s="21">
        <v>0</v>
      </c>
      <c r="X3041" s="21">
        <v>0</v>
      </c>
      <c r="Y3041" s="204" t="s">
        <v>2276</v>
      </c>
      <c r="Z3041" s="204" t="s">
        <v>2276</v>
      </c>
      <c r="AA3041" s="204" t="s">
        <v>2276</v>
      </c>
      <c r="AB3041" s="204" t="s">
        <v>2276</v>
      </c>
      <c r="AC3041" s="4" t="s">
        <v>8228</v>
      </c>
      <c r="AD3041" s="204"/>
    </row>
    <row r="3042" spans="1:30" ht="38" customHeight="1">
      <c r="A3042" s="19" t="s">
        <v>8208</v>
      </c>
      <c r="B3042" s="19" t="s">
        <v>8222</v>
      </c>
      <c r="C3042" s="204" t="s">
        <v>24</v>
      </c>
      <c r="D3042" s="204" t="s">
        <v>144</v>
      </c>
      <c r="E3042" s="204" t="s">
        <v>137</v>
      </c>
      <c r="F3042" s="204" t="s">
        <v>74</v>
      </c>
      <c r="G3042" s="4" t="s">
        <v>2276</v>
      </c>
      <c r="H3042" s="204" t="s">
        <v>524</v>
      </c>
      <c r="I3042" s="204"/>
      <c r="J3042" s="21">
        <v>0</v>
      </c>
      <c r="K3042" s="21">
        <v>0</v>
      </c>
      <c r="L3042" s="21">
        <v>0</v>
      </c>
      <c r="M3042" s="21">
        <v>0</v>
      </c>
      <c r="N3042" s="21">
        <v>0</v>
      </c>
      <c r="O3042" s="21">
        <v>0</v>
      </c>
      <c r="P3042" s="21">
        <v>0</v>
      </c>
      <c r="Q3042" s="21">
        <v>0</v>
      </c>
      <c r="R3042" s="21">
        <v>0</v>
      </c>
      <c r="S3042" s="21">
        <v>0</v>
      </c>
      <c r="T3042" s="21">
        <v>0</v>
      </c>
      <c r="U3042" s="21">
        <v>0</v>
      </c>
      <c r="V3042" s="21">
        <v>0</v>
      </c>
      <c r="W3042" s="21">
        <v>0</v>
      </c>
      <c r="X3042" s="21">
        <v>0</v>
      </c>
      <c r="Y3042" s="204" t="s">
        <v>2276</v>
      </c>
      <c r="Z3042" s="204" t="s">
        <v>2276</v>
      </c>
      <c r="AA3042" s="204" t="s">
        <v>2276</v>
      </c>
      <c r="AB3042" s="204" t="s">
        <v>2276</v>
      </c>
      <c r="AC3042" s="4" t="s">
        <v>8228</v>
      </c>
      <c r="AD3042" s="204"/>
    </row>
    <row r="3043" spans="1:30" ht="38" customHeight="1">
      <c r="A3043" s="19" t="s">
        <v>8209</v>
      </c>
      <c r="B3043" s="19" t="s">
        <v>8223</v>
      </c>
      <c r="C3043" s="204" t="s">
        <v>24</v>
      </c>
      <c r="D3043" s="204" t="s">
        <v>144</v>
      </c>
      <c r="E3043" s="204" t="s">
        <v>137</v>
      </c>
      <c r="F3043" s="204" t="s">
        <v>74</v>
      </c>
      <c r="G3043" s="4" t="s">
        <v>2276</v>
      </c>
      <c r="H3043" s="204" t="s">
        <v>524</v>
      </c>
      <c r="I3043" s="204"/>
      <c r="J3043" s="21">
        <v>0</v>
      </c>
      <c r="K3043" s="21">
        <v>0</v>
      </c>
      <c r="L3043" s="21">
        <v>0</v>
      </c>
      <c r="M3043" s="21">
        <v>0</v>
      </c>
      <c r="N3043" s="21">
        <v>0</v>
      </c>
      <c r="O3043" s="21">
        <v>0</v>
      </c>
      <c r="P3043" s="21">
        <v>0</v>
      </c>
      <c r="Q3043" s="21">
        <v>0</v>
      </c>
      <c r="R3043" s="21">
        <v>0</v>
      </c>
      <c r="S3043" s="21">
        <v>0</v>
      </c>
      <c r="T3043" s="21">
        <v>0</v>
      </c>
      <c r="U3043" s="21">
        <v>0</v>
      </c>
      <c r="V3043" s="21">
        <v>0</v>
      </c>
      <c r="W3043" s="21">
        <v>0</v>
      </c>
      <c r="X3043" s="21">
        <v>0</v>
      </c>
      <c r="Y3043" s="204" t="s">
        <v>2276</v>
      </c>
      <c r="Z3043" s="204" t="s">
        <v>2276</v>
      </c>
      <c r="AA3043" s="204" t="s">
        <v>2276</v>
      </c>
      <c r="AB3043" s="204" t="s">
        <v>2276</v>
      </c>
      <c r="AC3043" s="4" t="s">
        <v>8228</v>
      </c>
      <c r="AD3043" s="204"/>
    </row>
    <row r="3044" spans="1:30" ht="38" customHeight="1">
      <c r="A3044" s="19" t="s">
        <v>8210</v>
      </c>
      <c r="B3044" s="19" t="s">
        <v>8224</v>
      </c>
      <c r="C3044" s="204" t="s">
        <v>24</v>
      </c>
      <c r="D3044" s="204" t="s">
        <v>144</v>
      </c>
      <c r="E3044" s="204" t="s">
        <v>137</v>
      </c>
      <c r="F3044" s="204" t="s">
        <v>74</v>
      </c>
      <c r="G3044" s="4" t="s">
        <v>2276</v>
      </c>
      <c r="H3044" s="204" t="s">
        <v>524</v>
      </c>
      <c r="I3044" s="204"/>
      <c r="J3044" s="21">
        <v>0</v>
      </c>
      <c r="K3044" s="21">
        <v>0</v>
      </c>
      <c r="L3044" s="21">
        <v>0</v>
      </c>
      <c r="M3044" s="21">
        <v>0</v>
      </c>
      <c r="N3044" s="21">
        <v>0</v>
      </c>
      <c r="O3044" s="21">
        <v>0</v>
      </c>
      <c r="P3044" s="21">
        <v>0</v>
      </c>
      <c r="Q3044" s="21">
        <v>0</v>
      </c>
      <c r="R3044" s="21">
        <v>0</v>
      </c>
      <c r="S3044" s="21">
        <v>0</v>
      </c>
      <c r="T3044" s="21">
        <v>0</v>
      </c>
      <c r="U3044" s="21">
        <v>0</v>
      </c>
      <c r="V3044" s="21">
        <v>0</v>
      </c>
      <c r="W3044" s="21">
        <v>0</v>
      </c>
      <c r="X3044" s="21">
        <v>0</v>
      </c>
      <c r="Y3044" s="204" t="s">
        <v>2276</v>
      </c>
      <c r="Z3044" s="204" t="s">
        <v>2276</v>
      </c>
      <c r="AA3044" s="204" t="s">
        <v>2276</v>
      </c>
      <c r="AB3044" s="204" t="s">
        <v>2276</v>
      </c>
      <c r="AC3044" s="4" t="s">
        <v>8228</v>
      </c>
      <c r="AD3044" s="204"/>
    </row>
    <row r="3045" spans="1:30" ht="38" customHeight="1">
      <c r="A3045" s="19" t="s">
        <v>8217</v>
      </c>
      <c r="B3045" s="19" t="s">
        <v>8225</v>
      </c>
      <c r="C3045" s="204" t="s">
        <v>24</v>
      </c>
      <c r="D3045" s="204" t="s">
        <v>144</v>
      </c>
      <c r="E3045" s="204" t="s">
        <v>137</v>
      </c>
      <c r="F3045" s="204" t="s">
        <v>74</v>
      </c>
      <c r="G3045" s="4" t="s">
        <v>2276</v>
      </c>
      <c r="H3045" s="204" t="s">
        <v>524</v>
      </c>
      <c r="I3045" s="204"/>
      <c r="J3045" s="21">
        <v>0</v>
      </c>
      <c r="K3045" s="21">
        <v>0</v>
      </c>
      <c r="L3045" s="21">
        <v>0</v>
      </c>
      <c r="M3045" s="21">
        <v>0</v>
      </c>
      <c r="N3045" s="21">
        <v>0</v>
      </c>
      <c r="O3045" s="21">
        <v>0</v>
      </c>
      <c r="P3045" s="21">
        <v>0</v>
      </c>
      <c r="Q3045" s="21">
        <v>0</v>
      </c>
      <c r="R3045" s="21">
        <v>0</v>
      </c>
      <c r="S3045" s="21">
        <v>0</v>
      </c>
      <c r="T3045" s="21">
        <v>0</v>
      </c>
      <c r="U3045" s="21">
        <v>0</v>
      </c>
      <c r="V3045" s="21">
        <v>0</v>
      </c>
      <c r="W3045" s="21">
        <v>0</v>
      </c>
      <c r="X3045" s="21">
        <v>0</v>
      </c>
      <c r="Y3045" s="204" t="s">
        <v>2276</v>
      </c>
      <c r="Z3045" s="204" t="s">
        <v>2276</v>
      </c>
      <c r="AA3045" s="204" t="s">
        <v>2276</v>
      </c>
      <c r="AB3045" s="204" t="s">
        <v>2276</v>
      </c>
      <c r="AC3045" s="4" t="s">
        <v>8228</v>
      </c>
      <c r="AD3045" s="204"/>
    </row>
    <row r="3046" spans="1:30" ht="38" customHeight="1">
      <c r="A3046" s="19" t="s">
        <v>8218</v>
      </c>
      <c r="B3046" s="19" t="s">
        <v>8226</v>
      </c>
      <c r="C3046" s="204" t="s">
        <v>24</v>
      </c>
      <c r="D3046" s="204" t="s">
        <v>144</v>
      </c>
      <c r="E3046" s="204" t="s">
        <v>137</v>
      </c>
      <c r="F3046" s="204" t="s">
        <v>74</v>
      </c>
      <c r="G3046" s="4" t="s">
        <v>2276</v>
      </c>
      <c r="H3046" s="204" t="s">
        <v>524</v>
      </c>
      <c r="I3046" s="204"/>
      <c r="J3046" s="21">
        <v>0</v>
      </c>
      <c r="K3046" s="21">
        <v>0</v>
      </c>
      <c r="L3046" s="21">
        <v>0</v>
      </c>
      <c r="M3046" s="21">
        <v>0</v>
      </c>
      <c r="N3046" s="21">
        <v>0</v>
      </c>
      <c r="O3046" s="21">
        <v>0</v>
      </c>
      <c r="P3046" s="21">
        <v>0</v>
      </c>
      <c r="Q3046" s="21">
        <v>0</v>
      </c>
      <c r="R3046" s="21">
        <v>0</v>
      </c>
      <c r="S3046" s="21">
        <v>0</v>
      </c>
      <c r="T3046" s="21">
        <v>0</v>
      </c>
      <c r="U3046" s="21">
        <v>0</v>
      </c>
      <c r="V3046" s="21">
        <v>0</v>
      </c>
      <c r="W3046" s="21">
        <v>0</v>
      </c>
      <c r="X3046" s="21">
        <v>0</v>
      </c>
      <c r="Y3046" s="204" t="s">
        <v>2276</v>
      </c>
      <c r="Z3046" s="204" t="s">
        <v>2276</v>
      </c>
      <c r="AA3046" s="204" t="s">
        <v>2276</v>
      </c>
      <c r="AB3046" s="204" t="s">
        <v>2276</v>
      </c>
      <c r="AC3046" s="4" t="s">
        <v>8228</v>
      </c>
      <c r="AD3046" s="204"/>
    </row>
    <row r="3047" spans="1:30" ht="38" customHeight="1">
      <c r="A3047" s="19" t="s">
        <v>8219</v>
      </c>
      <c r="B3047" s="19" t="s">
        <v>8227</v>
      </c>
      <c r="C3047" s="204" t="s">
        <v>24</v>
      </c>
      <c r="D3047" s="204" t="s">
        <v>144</v>
      </c>
      <c r="E3047" s="204" t="s">
        <v>137</v>
      </c>
      <c r="F3047" s="204" t="s">
        <v>74</v>
      </c>
      <c r="G3047" s="4" t="s">
        <v>2276</v>
      </c>
      <c r="H3047" s="204" t="s">
        <v>524</v>
      </c>
      <c r="I3047" s="204"/>
      <c r="J3047" s="21">
        <v>0</v>
      </c>
      <c r="K3047" s="21">
        <v>0</v>
      </c>
      <c r="L3047" s="21">
        <v>0</v>
      </c>
      <c r="M3047" s="21">
        <v>0</v>
      </c>
      <c r="N3047" s="21">
        <v>0</v>
      </c>
      <c r="O3047" s="21">
        <v>0</v>
      </c>
      <c r="P3047" s="21">
        <v>0</v>
      </c>
      <c r="Q3047" s="21">
        <v>0</v>
      </c>
      <c r="R3047" s="21">
        <v>0</v>
      </c>
      <c r="S3047" s="21">
        <v>0</v>
      </c>
      <c r="T3047" s="21">
        <v>0</v>
      </c>
      <c r="U3047" s="21">
        <v>0</v>
      </c>
      <c r="V3047" s="21">
        <v>0</v>
      </c>
      <c r="W3047" s="21">
        <v>0</v>
      </c>
      <c r="X3047" s="21">
        <v>0</v>
      </c>
      <c r="Y3047" s="204" t="s">
        <v>2276</v>
      </c>
      <c r="Z3047" s="204" t="s">
        <v>2276</v>
      </c>
      <c r="AA3047" s="204" t="s">
        <v>2276</v>
      </c>
      <c r="AB3047" s="204" t="s">
        <v>2276</v>
      </c>
      <c r="AC3047" s="4" t="s">
        <v>8228</v>
      </c>
      <c r="AD3047" s="204"/>
    </row>
    <row r="3048" spans="1:30" ht="36.5" customHeight="1">
      <c r="A3048" s="19" t="s">
        <v>8202</v>
      </c>
      <c r="B3048" s="19" t="s">
        <v>8229</v>
      </c>
      <c r="C3048" s="204" t="s">
        <v>1105</v>
      </c>
      <c r="D3048" s="204" t="s">
        <v>2276</v>
      </c>
      <c r="E3048" s="204" t="s">
        <v>1105</v>
      </c>
      <c r="F3048" s="4" t="s">
        <v>2276</v>
      </c>
      <c r="G3048" s="4" t="s">
        <v>2276</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1">
        <f>SUM(0/2, 1.4/6, 4.1/17.5, 36/37.5, 13.3/70)</f>
        <v>1.6176190476190475</v>
      </c>
      <c r="Y3048" s="204" t="s">
        <v>2276</v>
      </c>
      <c r="Z3048" s="204" t="s">
        <v>2276</v>
      </c>
      <c r="AA3048" s="204" t="s">
        <v>2276</v>
      </c>
      <c r="AB3048" s="204" t="s">
        <v>2276</v>
      </c>
      <c r="AC3048" s="204"/>
      <c r="AD3048" s="204"/>
    </row>
    <row r="3049" spans="1:30" ht="36.5" customHeight="1">
      <c r="A3049" s="19" t="s">
        <v>8208</v>
      </c>
      <c r="B3049" s="19" t="s">
        <v>8230</v>
      </c>
      <c r="C3049" s="204" t="s">
        <v>1105</v>
      </c>
      <c r="D3049" s="204" t="s">
        <v>2276</v>
      </c>
      <c r="E3049" s="204" t="s">
        <v>1105</v>
      </c>
      <c r="F3049" s="4" t="s">
        <v>2276</v>
      </c>
      <c r="G3049" s="4" t="s">
        <v>2276</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1">
        <f t="shared" ref="X3049:X3054" si="6">SUM(0/2, 1.4/6, 4.1/17.5, 36/37.5, 13.3/70)</f>
        <v>1.6176190476190475</v>
      </c>
      <c r="Y3049" s="204" t="s">
        <v>2276</v>
      </c>
      <c r="Z3049" s="204" t="s">
        <v>2276</v>
      </c>
      <c r="AA3049" s="204" t="s">
        <v>2276</v>
      </c>
      <c r="AB3049" s="204" t="s">
        <v>2276</v>
      </c>
      <c r="AC3049" s="204"/>
      <c r="AD3049" s="204"/>
    </row>
    <row r="3050" spans="1:30" ht="36.5" customHeight="1">
      <c r="A3050" s="19" t="s">
        <v>8209</v>
      </c>
      <c r="B3050" s="19" t="s">
        <v>8231</v>
      </c>
      <c r="C3050" s="204" t="s">
        <v>1105</v>
      </c>
      <c r="D3050" s="204" t="s">
        <v>2276</v>
      </c>
      <c r="E3050" s="204" t="s">
        <v>1105</v>
      </c>
      <c r="F3050" s="4" t="s">
        <v>2276</v>
      </c>
      <c r="G3050" s="4" t="s">
        <v>2276</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1">
        <f>SUM(0.9/2, 4.5/6, 1.4/17.5, 6.4/37.5, 20.4/70)</f>
        <v>1.7420952380952381</v>
      </c>
      <c r="Y3050" s="204" t="s">
        <v>2276</v>
      </c>
      <c r="Z3050" s="204" t="s">
        <v>2276</v>
      </c>
      <c r="AA3050" s="204" t="s">
        <v>2276</v>
      </c>
      <c r="AB3050" s="204" t="s">
        <v>2276</v>
      </c>
      <c r="AC3050" s="204"/>
      <c r="AD3050" s="204"/>
    </row>
    <row r="3051" spans="1:30" ht="36.5" customHeight="1">
      <c r="A3051" s="19" t="s">
        <v>8210</v>
      </c>
      <c r="B3051" s="19" t="s">
        <v>8232</v>
      </c>
      <c r="C3051" s="204" t="s">
        <v>1105</v>
      </c>
      <c r="D3051" s="204" t="s">
        <v>2276</v>
      </c>
      <c r="E3051" s="204" t="s">
        <v>1105</v>
      </c>
      <c r="F3051" s="4" t="s">
        <v>2276</v>
      </c>
      <c r="G3051" s="4" t="s">
        <v>2276</v>
      </c>
      <c r="H3051" s="204" t="s">
        <v>523</v>
      </c>
      <c r="I3051" s="204"/>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1">
        <f>SUM(0/2, 0/6, 0.1/17.5, 3.1/37.5, 7.4/70)</f>
        <v>0.1940952380952381</v>
      </c>
      <c r="Y3051" s="204" t="s">
        <v>2276</v>
      </c>
      <c r="Z3051" s="204" t="s">
        <v>2276</v>
      </c>
      <c r="AA3051" s="204" t="s">
        <v>2276</v>
      </c>
      <c r="AB3051" s="204" t="s">
        <v>2276</v>
      </c>
      <c r="AC3051" s="204"/>
      <c r="AD3051" s="204"/>
    </row>
    <row r="3052" spans="1:30" ht="36.5" customHeight="1">
      <c r="A3052" s="19" t="s">
        <v>8217</v>
      </c>
      <c r="B3052" s="19" t="s">
        <v>8233</v>
      </c>
      <c r="C3052" s="204" t="s">
        <v>1105</v>
      </c>
      <c r="D3052" s="204" t="s">
        <v>2276</v>
      </c>
      <c r="E3052" s="204" t="s">
        <v>1105</v>
      </c>
      <c r="F3052" s="4" t="s">
        <v>2276</v>
      </c>
      <c r="G3052" s="4" t="s">
        <v>2276</v>
      </c>
      <c r="H3052" s="204" t="s">
        <v>523</v>
      </c>
      <c r="I3052" s="204"/>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1">
        <f>SUM(0.6/2, 1.9/6, 7.8/17.5, 9.8/37.5, 5.6/70)</f>
        <v>1.4037142857142859</v>
      </c>
      <c r="Y3052" s="204" t="s">
        <v>2276</v>
      </c>
      <c r="Z3052" s="204" t="s">
        <v>2276</v>
      </c>
      <c r="AA3052" s="204" t="s">
        <v>2276</v>
      </c>
      <c r="AB3052" s="204" t="s">
        <v>2276</v>
      </c>
      <c r="AC3052" s="204"/>
      <c r="AD3052" s="204"/>
    </row>
    <row r="3053" spans="1:30" ht="36.5" customHeight="1">
      <c r="A3053" s="19" t="s">
        <v>8218</v>
      </c>
      <c r="B3053" s="19" t="s">
        <v>8234</v>
      </c>
      <c r="C3053" s="204" t="s">
        <v>1105</v>
      </c>
      <c r="D3053" s="204" t="s">
        <v>2276</v>
      </c>
      <c r="E3053" s="204" t="s">
        <v>1105</v>
      </c>
      <c r="F3053" s="4" t="s">
        <v>2276</v>
      </c>
      <c r="G3053" s="4" t="s">
        <v>2276</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1">
        <f>SUM(0/2, 1/6, 5.2/17.5, 2.6/37.5, 0.7/70)</f>
        <v>0.54314285714285715</v>
      </c>
      <c r="Y3053" s="204" t="s">
        <v>2276</v>
      </c>
      <c r="Z3053" s="204" t="s">
        <v>2276</v>
      </c>
      <c r="AA3053" s="204" t="s">
        <v>2276</v>
      </c>
      <c r="AB3053" s="204" t="s">
        <v>2276</v>
      </c>
      <c r="AC3053" s="204"/>
      <c r="AD3053" s="204"/>
    </row>
    <row r="3054" spans="1:30" ht="36.5" customHeight="1">
      <c r="A3054" s="19" t="s">
        <v>8219</v>
      </c>
      <c r="B3054" s="19" t="s">
        <v>8235</v>
      </c>
      <c r="C3054" s="204" t="s">
        <v>1105</v>
      </c>
      <c r="D3054" s="204" t="s">
        <v>2276</v>
      </c>
      <c r="E3054" s="204" t="s">
        <v>1105</v>
      </c>
      <c r="F3054" s="4" t="s">
        <v>2276</v>
      </c>
      <c r="G3054" s="4" t="s">
        <v>2276</v>
      </c>
      <c r="H3054" s="204" t="s">
        <v>523</v>
      </c>
      <c r="I3054" s="204"/>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1">
        <f>SUM(0/2, 0.4/6, 1.2/17.5, 7/37.5, 2.1/70)</f>
        <v>0.35190476190476194</v>
      </c>
      <c r="Y3054" s="204" t="s">
        <v>2276</v>
      </c>
      <c r="Z3054" s="204" t="s">
        <v>2276</v>
      </c>
      <c r="AA3054" s="204" t="s">
        <v>2276</v>
      </c>
      <c r="AB3054" s="204" t="s">
        <v>2276</v>
      </c>
      <c r="AC3054" s="204"/>
      <c r="AD3054" s="204"/>
    </row>
    <row r="3055" spans="1:30" ht="30" customHeight="1">
      <c r="A3055" s="19" t="s">
        <v>8236</v>
      </c>
      <c r="B3055" s="19" t="s">
        <v>8243</v>
      </c>
      <c r="C3055" s="204" t="s">
        <v>24</v>
      </c>
      <c r="D3055" s="204" t="s">
        <v>25</v>
      </c>
      <c r="E3055" s="204" t="s">
        <v>116</v>
      </c>
      <c r="F3055" s="4" t="s">
        <v>55</v>
      </c>
      <c r="G3055" s="4" t="s">
        <v>55</v>
      </c>
      <c r="H3055" s="204" t="s">
        <v>523</v>
      </c>
      <c r="I3055" s="204"/>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86</v>
      </c>
      <c r="AA3055" s="204" t="s">
        <v>86</v>
      </c>
      <c r="AB3055" s="204" t="s">
        <v>2276</v>
      </c>
      <c r="AC3055" s="204"/>
      <c r="AD3055" s="204"/>
    </row>
    <row r="3056" spans="1:30" ht="30" customHeight="1">
      <c r="A3056" s="19" t="s">
        <v>8240</v>
      </c>
      <c r="B3056" s="19" t="s">
        <v>8245</v>
      </c>
      <c r="C3056" s="204" t="s">
        <v>24</v>
      </c>
      <c r="D3056" s="204" t="s">
        <v>25</v>
      </c>
      <c r="E3056" s="204" t="s">
        <v>116</v>
      </c>
      <c r="F3056" s="4" t="s">
        <v>55</v>
      </c>
      <c r="G3056" s="4" t="s">
        <v>55</v>
      </c>
      <c r="H3056" s="204" t="s">
        <v>523</v>
      </c>
      <c r="I3056" s="204"/>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86</v>
      </c>
      <c r="AA3056" s="204" t="s">
        <v>86</v>
      </c>
      <c r="AB3056" s="204" t="s">
        <v>2276</v>
      </c>
      <c r="AC3056" s="204"/>
      <c r="AD3056" s="204"/>
    </row>
    <row r="3057" spans="1:30" ht="30" customHeight="1">
      <c r="A3057" s="19" t="s">
        <v>8241</v>
      </c>
      <c r="B3057" s="19" t="s">
        <v>8246</v>
      </c>
      <c r="C3057" s="204" t="s">
        <v>24</v>
      </c>
      <c r="D3057" s="204" t="s">
        <v>25</v>
      </c>
      <c r="E3057" s="204" t="s">
        <v>116</v>
      </c>
      <c r="F3057" s="4" t="s">
        <v>55</v>
      </c>
      <c r="G3057" s="4" t="s">
        <v>55</v>
      </c>
      <c r="H3057" s="204" t="s">
        <v>523</v>
      </c>
      <c r="I3057" s="204"/>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86</v>
      </c>
      <c r="AA3057" s="204" t="s">
        <v>86</v>
      </c>
      <c r="AB3057" s="204" t="s">
        <v>2276</v>
      </c>
      <c r="AC3057" s="204"/>
      <c r="AD3057" s="204"/>
    </row>
    <row r="3058" spans="1:30" ht="30" customHeight="1">
      <c r="A3058" s="19" t="s">
        <v>8242</v>
      </c>
      <c r="B3058" s="19" t="s">
        <v>8247</v>
      </c>
      <c r="C3058" s="204" t="s">
        <v>24</v>
      </c>
      <c r="D3058" s="204" t="s">
        <v>25</v>
      </c>
      <c r="E3058" s="204" t="s">
        <v>116</v>
      </c>
      <c r="F3058" s="4" t="s">
        <v>55</v>
      </c>
      <c r="G3058" s="4" t="s">
        <v>55</v>
      </c>
      <c r="H3058" s="204" t="s">
        <v>523</v>
      </c>
      <c r="I3058" s="204"/>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86</v>
      </c>
      <c r="AA3058" s="204" t="s">
        <v>86</v>
      </c>
      <c r="AB3058" s="204" t="s">
        <v>2276</v>
      </c>
      <c r="AC3058" s="204"/>
      <c r="AD3058" s="204"/>
    </row>
    <row r="3059" spans="1:30" ht="51" customHeight="1">
      <c r="A3059" s="19" t="s">
        <v>8236</v>
      </c>
      <c r="B3059" s="19" t="s">
        <v>8248</v>
      </c>
      <c r="C3059" s="204" t="s">
        <v>1105</v>
      </c>
      <c r="D3059" s="204" t="s">
        <v>2276</v>
      </c>
      <c r="E3059" s="204" t="s">
        <v>1105</v>
      </c>
      <c r="F3059" s="4" t="s">
        <v>2276</v>
      </c>
      <c r="G3059" s="4" t="s">
        <v>2662</v>
      </c>
      <c r="H3059" s="204" t="s">
        <v>523</v>
      </c>
      <c r="I3059" s="204"/>
      <c r="J3059" s="21">
        <f>58/(22/24)/2680.59</f>
        <v>2.3604030184671013E-2</v>
      </c>
      <c r="K3059" s="204" t="s">
        <v>2276</v>
      </c>
      <c r="L3059" s="204" t="s">
        <v>2276</v>
      </c>
      <c r="M3059" s="204" t="s">
        <v>2276</v>
      </c>
      <c r="N3059" s="204" t="s">
        <v>2276</v>
      </c>
      <c r="O3059" s="204" t="s">
        <v>2276</v>
      </c>
      <c r="P3059" s="21">
        <f>223357/58</f>
        <v>3850.9827586206898</v>
      </c>
      <c r="Q3059" s="204" t="s">
        <v>2276</v>
      </c>
      <c r="R3059" s="204" t="s">
        <v>2276</v>
      </c>
      <c r="S3059" s="204" t="s">
        <v>2276</v>
      </c>
      <c r="T3059" s="204" t="s">
        <v>2276</v>
      </c>
      <c r="U3059" s="204" t="s">
        <v>2276</v>
      </c>
      <c r="V3059" s="204" t="s">
        <v>2276</v>
      </c>
      <c r="W3059" s="204" t="s">
        <v>2276</v>
      </c>
      <c r="X3059" s="204" t="s">
        <v>2276</v>
      </c>
      <c r="Y3059" s="204" t="s">
        <v>2276</v>
      </c>
      <c r="Z3059" s="204" t="s">
        <v>86</v>
      </c>
      <c r="AA3059" s="204" t="s">
        <v>404</v>
      </c>
      <c r="AB3059" s="204" t="s">
        <v>2655</v>
      </c>
      <c r="AC3059" s="4" t="s">
        <v>8255</v>
      </c>
      <c r="AD3059" s="204"/>
    </row>
    <row r="3060" spans="1:30" ht="51" customHeight="1">
      <c r="A3060" s="19" t="s">
        <v>8240</v>
      </c>
      <c r="B3060" s="19" t="s">
        <v>8244</v>
      </c>
      <c r="C3060" s="204" t="s">
        <v>1105</v>
      </c>
      <c r="D3060" s="204" t="s">
        <v>2276</v>
      </c>
      <c r="E3060" s="204" t="s">
        <v>1105</v>
      </c>
      <c r="F3060" s="4" t="s">
        <v>2276</v>
      </c>
      <c r="G3060" s="4" t="s">
        <v>2662</v>
      </c>
      <c r="H3060" s="204" t="s">
        <v>523</v>
      </c>
      <c r="I3060" s="204"/>
      <c r="J3060" s="21">
        <f>171/(22/24)/3832.09</f>
        <v>4.8679820814608886E-2</v>
      </c>
      <c r="K3060" s="204" t="s">
        <v>2276</v>
      </c>
      <c r="L3060" s="204" t="s">
        <v>2276</v>
      </c>
      <c r="M3060" s="204" t="s">
        <v>2276</v>
      </c>
      <c r="N3060" s="204" t="s">
        <v>2276</v>
      </c>
      <c r="O3060" s="204" t="s">
        <v>2276</v>
      </c>
      <c r="P3060" s="21">
        <f>94002/171</f>
        <v>549.71929824561403</v>
      </c>
      <c r="Q3060" s="204" t="s">
        <v>2276</v>
      </c>
      <c r="R3060" s="204" t="s">
        <v>2276</v>
      </c>
      <c r="S3060" s="204" t="s">
        <v>2276</v>
      </c>
      <c r="T3060" s="204" t="s">
        <v>2276</v>
      </c>
      <c r="U3060" s="204" t="s">
        <v>2276</v>
      </c>
      <c r="V3060" s="204" t="s">
        <v>2276</v>
      </c>
      <c r="W3060" s="204" t="s">
        <v>2276</v>
      </c>
      <c r="X3060" s="204" t="s">
        <v>2276</v>
      </c>
      <c r="Y3060" s="204" t="s">
        <v>2276</v>
      </c>
      <c r="Z3060" s="204" t="s">
        <v>86</v>
      </c>
      <c r="AA3060" s="204" t="s">
        <v>404</v>
      </c>
      <c r="AB3060" s="204" t="s">
        <v>2655</v>
      </c>
      <c r="AC3060" s="4" t="s">
        <v>8255</v>
      </c>
      <c r="AD3060" s="204"/>
    </row>
    <row r="3061" spans="1:30" ht="51" customHeight="1">
      <c r="A3061" s="19" t="s">
        <v>8241</v>
      </c>
      <c r="B3061" s="19" t="s">
        <v>8249</v>
      </c>
      <c r="C3061" s="204" t="s">
        <v>1105</v>
      </c>
      <c r="D3061" s="204" t="s">
        <v>2276</v>
      </c>
      <c r="E3061" s="204" t="s">
        <v>1105</v>
      </c>
      <c r="F3061" s="4" t="s">
        <v>2276</v>
      </c>
      <c r="G3061" s="4" t="s">
        <v>2662</v>
      </c>
      <c r="H3061" s="204" t="s">
        <v>523</v>
      </c>
      <c r="I3061" s="204"/>
      <c r="J3061" s="21">
        <f>171/(22/24)/3832.09</f>
        <v>4.8679820814608886E-2</v>
      </c>
      <c r="K3061" s="204" t="s">
        <v>2276</v>
      </c>
      <c r="L3061" s="204" t="s">
        <v>2276</v>
      </c>
      <c r="M3061" s="204" t="s">
        <v>2276</v>
      </c>
      <c r="N3061" s="204" t="s">
        <v>2276</v>
      </c>
      <c r="O3061" s="204" t="s">
        <v>2276</v>
      </c>
      <c r="P3061" s="21">
        <f>94002/171</f>
        <v>549.71929824561403</v>
      </c>
      <c r="Q3061" s="204" t="s">
        <v>2276</v>
      </c>
      <c r="R3061" s="204" t="s">
        <v>2276</v>
      </c>
      <c r="S3061" s="204" t="s">
        <v>2276</v>
      </c>
      <c r="T3061" s="204" t="s">
        <v>2276</v>
      </c>
      <c r="U3061" s="204" t="s">
        <v>2276</v>
      </c>
      <c r="V3061" s="204" t="s">
        <v>2276</v>
      </c>
      <c r="W3061" s="204" t="s">
        <v>2276</v>
      </c>
      <c r="X3061" s="204" t="s">
        <v>2276</v>
      </c>
      <c r="Y3061" s="204" t="s">
        <v>2276</v>
      </c>
      <c r="Z3061" s="204" t="s">
        <v>86</v>
      </c>
      <c r="AA3061" s="204" t="s">
        <v>404</v>
      </c>
      <c r="AB3061" s="204" t="s">
        <v>2655</v>
      </c>
      <c r="AC3061" s="4" t="s">
        <v>8255</v>
      </c>
      <c r="AD3061" s="204"/>
    </row>
    <row r="3062" spans="1:30" ht="51" customHeight="1">
      <c r="A3062" s="19" t="s">
        <v>8242</v>
      </c>
      <c r="B3062" s="19" t="s">
        <v>8250</v>
      </c>
      <c r="C3062" s="204" t="s">
        <v>1105</v>
      </c>
      <c r="D3062" s="204" t="s">
        <v>2276</v>
      </c>
      <c r="E3062" s="204" t="s">
        <v>1105</v>
      </c>
      <c r="F3062" s="4" t="s">
        <v>2276</v>
      </c>
      <c r="G3062" s="4" t="s">
        <v>2662</v>
      </c>
      <c r="H3062" s="204" t="s">
        <v>523</v>
      </c>
      <c r="I3062" s="204"/>
      <c r="J3062" s="21">
        <f>49/(22/24)/276.36</f>
        <v>0.19342359767891681</v>
      </c>
      <c r="K3062" s="204" t="s">
        <v>2276</v>
      </c>
      <c r="L3062" s="204" t="s">
        <v>2276</v>
      </c>
      <c r="M3062" s="204" t="s">
        <v>2276</v>
      </c>
      <c r="N3062" s="204" t="s">
        <v>2276</v>
      </c>
      <c r="O3062" s="204" t="s">
        <v>2276</v>
      </c>
      <c r="P3062" s="21">
        <f>9939/49</f>
        <v>202.83673469387756</v>
      </c>
      <c r="Q3062" s="204" t="s">
        <v>2276</v>
      </c>
      <c r="R3062" s="204" t="s">
        <v>2276</v>
      </c>
      <c r="S3062" s="204" t="s">
        <v>2276</v>
      </c>
      <c r="T3062" s="204" t="s">
        <v>2276</v>
      </c>
      <c r="U3062" s="204" t="s">
        <v>2276</v>
      </c>
      <c r="V3062" s="204" t="s">
        <v>2276</v>
      </c>
      <c r="W3062" s="204" t="s">
        <v>2276</v>
      </c>
      <c r="X3062" s="204" t="s">
        <v>2276</v>
      </c>
      <c r="Y3062" s="204" t="s">
        <v>2276</v>
      </c>
      <c r="Z3062" s="204" t="s">
        <v>86</v>
      </c>
      <c r="AA3062" s="204" t="s">
        <v>404</v>
      </c>
      <c r="AB3062" s="204" t="s">
        <v>2655</v>
      </c>
      <c r="AC3062" s="4" t="s">
        <v>8255</v>
      </c>
      <c r="AD3062" s="204"/>
    </row>
    <row r="3063" spans="1:30" ht="29" customHeight="1">
      <c r="A3063" s="19" t="s">
        <v>8236</v>
      </c>
      <c r="B3063" s="19" t="s">
        <v>8251</v>
      </c>
      <c r="C3063" s="204" t="s">
        <v>2656</v>
      </c>
      <c r="D3063" s="204" t="s">
        <v>2276</v>
      </c>
      <c r="E3063" s="204" t="s">
        <v>1105</v>
      </c>
      <c r="F3063" s="4" t="s">
        <v>2276</v>
      </c>
      <c r="G3063" s="4" t="s">
        <v>2662</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34</v>
      </c>
      <c r="AA3063" s="204" t="s">
        <v>404</v>
      </c>
      <c r="AB3063" s="204" t="s">
        <v>2655</v>
      </c>
      <c r="AC3063" s="204"/>
      <c r="AD3063" s="204"/>
    </row>
    <row r="3064" spans="1:30" ht="29" customHeight="1">
      <c r="A3064" s="19" t="s">
        <v>8240</v>
      </c>
      <c r="B3064" s="19" t="s">
        <v>8252</v>
      </c>
      <c r="C3064" s="204" t="s">
        <v>2656</v>
      </c>
      <c r="D3064" s="204" t="s">
        <v>2276</v>
      </c>
      <c r="E3064" s="204" t="s">
        <v>1105</v>
      </c>
      <c r="F3064" s="4" t="s">
        <v>2276</v>
      </c>
      <c r="G3064" s="4" t="s">
        <v>2662</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04" t="s">
        <v>2276</v>
      </c>
      <c r="Z3064" s="204" t="s">
        <v>34</v>
      </c>
      <c r="AA3064" s="204" t="s">
        <v>404</v>
      </c>
      <c r="AB3064" s="204" t="s">
        <v>2655</v>
      </c>
      <c r="AC3064" s="204"/>
      <c r="AD3064" s="204"/>
    </row>
    <row r="3065" spans="1:30" ht="29" customHeight="1">
      <c r="A3065" s="19" t="s">
        <v>8241</v>
      </c>
      <c r="B3065" s="19" t="s">
        <v>8253</v>
      </c>
      <c r="C3065" s="204" t="s">
        <v>2656</v>
      </c>
      <c r="D3065" s="204" t="s">
        <v>2276</v>
      </c>
      <c r="E3065" s="204" t="s">
        <v>1105</v>
      </c>
      <c r="F3065" s="4" t="s">
        <v>2276</v>
      </c>
      <c r="G3065" s="4" t="s">
        <v>2662</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34</v>
      </c>
      <c r="AA3065" s="204" t="s">
        <v>404</v>
      </c>
      <c r="AB3065" s="204" t="s">
        <v>2655</v>
      </c>
      <c r="AC3065" s="204"/>
      <c r="AD3065" s="204"/>
    </row>
    <row r="3066" spans="1:30" ht="29" customHeight="1">
      <c r="A3066" s="19" t="s">
        <v>8242</v>
      </c>
      <c r="B3066" s="19" t="s">
        <v>8254</v>
      </c>
      <c r="C3066" s="204" t="s">
        <v>2656</v>
      </c>
      <c r="D3066" s="204" t="s">
        <v>2276</v>
      </c>
      <c r="E3066" s="204" t="s">
        <v>1105</v>
      </c>
      <c r="F3066" s="4" t="s">
        <v>2276</v>
      </c>
      <c r="G3066" s="4" t="s">
        <v>2662</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34</v>
      </c>
      <c r="AA3066" s="204" t="s">
        <v>404</v>
      </c>
      <c r="AB3066" s="204" t="s">
        <v>2655</v>
      </c>
      <c r="AC3066" s="204"/>
      <c r="AD3066" s="204"/>
    </row>
    <row r="3067" spans="1:30" ht="39" customHeight="1">
      <c r="A3067" s="19" t="s">
        <v>8257</v>
      </c>
      <c r="B3067" s="19" t="s">
        <v>8259</v>
      </c>
      <c r="C3067" s="204" t="s">
        <v>24</v>
      </c>
      <c r="D3067" s="204" t="s">
        <v>1245</v>
      </c>
      <c r="E3067" s="204" t="s">
        <v>116</v>
      </c>
      <c r="F3067" s="4" t="s">
        <v>2662</v>
      </c>
      <c r="G3067" s="4" t="s">
        <v>2662</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14">
        <v>0.5</v>
      </c>
      <c r="Z3067" s="204" t="s">
        <v>425</v>
      </c>
      <c r="AA3067" s="204" t="s">
        <v>68</v>
      </c>
      <c r="AB3067" s="204" t="s">
        <v>76</v>
      </c>
      <c r="AC3067" s="4" t="s">
        <v>8267</v>
      </c>
      <c r="AD3067" s="4" t="s">
        <v>8268</v>
      </c>
    </row>
    <row r="3068" spans="1:30" ht="39" customHeight="1">
      <c r="A3068" s="19" t="s">
        <v>8257</v>
      </c>
      <c r="B3068" s="19" t="s">
        <v>8260</v>
      </c>
      <c r="C3068" s="204" t="s">
        <v>24</v>
      </c>
      <c r="D3068" s="204" t="s">
        <v>2341</v>
      </c>
      <c r="E3068" s="204" t="s">
        <v>116</v>
      </c>
      <c r="F3068" s="4" t="s">
        <v>2662</v>
      </c>
      <c r="G3068" s="4" t="s">
        <v>2662</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425</v>
      </c>
      <c r="AA3068" s="204" t="s">
        <v>68</v>
      </c>
      <c r="AB3068" s="204" t="s">
        <v>76</v>
      </c>
      <c r="AC3068" s="204"/>
      <c r="AD3068" s="4" t="s">
        <v>8268</v>
      </c>
    </row>
    <row r="3069" spans="1:30" ht="33.5" customHeight="1">
      <c r="A3069" s="19" t="s">
        <v>8257</v>
      </c>
      <c r="B3069" s="19" t="s">
        <v>8261</v>
      </c>
      <c r="C3069" s="204" t="s">
        <v>24</v>
      </c>
      <c r="D3069" s="204" t="s">
        <v>1242</v>
      </c>
      <c r="E3069" s="204" t="s">
        <v>116</v>
      </c>
      <c r="F3069" s="4" t="s">
        <v>2662</v>
      </c>
      <c r="G3069" s="4" t="s">
        <v>2662</v>
      </c>
      <c r="H3069" s="204" t="s">
        <v>523</v>
      </c>
      <c r="J3069" s="38" t="s">
        <v>2276</v>
      </c>
      <c r="K3069" s="38" t="s">
        <v>2276</v>
      </c>
      <c r="L3069" s="38" t="s">
        <v>2276</v>
      </c>
      <c r="M3069" s="38" t="s">
        <v>2276</v>
      </c>
      <c r="N3069" s="38" t="s">
        <v>2276</v>
      </c>
      <c r="O3069" s="38" t="s">
        <v>2276</v>
      </c>
      <c r="P3069" s="38" t="s">
        <v>2276</v>
      </c>
      <c r="Q3069" s="38" t="s">
        <v>2276</v>
      </c>
      <c r="R3069" s="38" t="s">
        <v>2276</v>
      </c>
      <c r="S3069" s="38" t="s">
        <v>2276</v>
      </c>
      <c r="T3069" s="38" t="s">
        <v>2276</v>
      </c>
      <c r="U3069" s="38" t="s">
        <v>2276</v>
      </c>
      <c r="V3069" s="38" t="s">
        <v>2276</v>
      </c>
      <c r="W3069" s="38" t="s">
        <v>2276</v>
      </c>
      <c r="X3069" s="38" t="s">
        <v>2276</v>
      </c>
      <c r="Y3069" s="38" t="s">
        <v>2276</v>
      </c>
      <c r="Z3069" s="38" t="s">
        <v>189</v>
      </c>
      <c r="AA3069" s="38" t="s">
        <v>38</v>
      </c>
      <c r="AB3069" s="38" t="s">
        <v>2655</v>
      </c>
      <c r="AC3069" s="168" t="s">
        <v>8266</v>
      </c>
      <c r="AD3069" s="4" t="s">
        <v>8268</v>
      </c>
    </row>
    <row r="3070" spans="1:30" ht="41" customHeight="1">
      <c r="A3070" s="19" t="s">
        <v>8257</v>
      </c>
      <c r="B3070" s="19" t="s">
        <v>8262</v>
      </c>
      <c r="C3070" s="204" t="s">
        <v>24</v>
      </c>
      <c r="D3070" s="204" t="s">
        <v>2305</v>
      </c>
      <c r="E3070" s="204" t="s">
        <v>116</v>
      </c>
      <c r="F3070" s="4" t="s">
        <v>2662</v>
      </c>
      <c r="G3070" s="4" t="s">
        <v>2662</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38</v>
      </c>
      <c r="AA3070" s="204" t="s">
        <v>34</v>
      </c>
      <c r="AB3070" s="204" t="s">
        <v>2655</v>
      </c>
      <c r="AC3070" s="168" t="s">
        <v>8266</v>
      </c>
      <c r="AD3070" s="4" t="s">
        <v>8268</v>
      </c>
    </row>
    <row r="3071" spans="1:30" ht="38" customHeight="1">
      <c r="A3071" s="19" t="s">
        <v>8257</v>
      </c>
      <c r="B3071" s="19" t="s">
        <v>8263</v>
      </c>
      <c r="C3071" s="204" t="s">
        <v>24</v>
      </c>
      <c r="D3071" s="204" t="s">
        <v>3480</v>
      </c>
      <c r="E3071" s="204" t="s">
        <v>116</v>
      </c>
      <c r="F3071" s="4" t="s">
        <v>2662</v>
      </c>
      <c r="G3071" s="4" t="s">
        <v>2662</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38</v>
      </c>
      <c r="AA3071" s="204" t="s">
        <v>34</v>
      </c>
      <c r="AB3071" s="204" t="s">
        <v>64</v>
      </c>
      <c r="AC3071" s="4"/>
      <c r="AD3071" s="4" t="s">
        <v>8268</v>
      </c>
    </row>
    <row r="3072" spans="1:30" ht="31" customHeight="1">
      <c r="A3072" s="19" t="s">
        <v>8257</v>
      </c>
      <c r="B3072" s="19" t="s">
        <v>8264</v>
      </c>
      <c r="C3072" s="204" t="s">
        <v>24</v>
      </c>
      <c r="D3072" s="204" t="s">
        <v>1242</v>
      </c>
      <c r="E3072" s="204" t="s">
        <v>116</v>
      </c>
      <c r="F3072" s="4" t="s">
        <v>2662</v>
      </c>
      <c r="G3072" s="4" t="s">
        <v>2662</v>
      </c>
      <c r="H3072" s="204" t="s">
        <v>523</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2276</v>
      </c>
      <c r="Y3072" s="204" t="s">
        <v>2276</v>
      </c>
      <c r="Z3072" s="204" t="s">
        <v>34</v>
      </c>
      <c r="AA3072" s="204" t="s">
        <v>405</v>
      </c>
      <c r="AB3072" s="204" t="s">
        <v>64</v>
      </c>
      <c r="AC3072" s="4" t="s">
        <v>8265</v>
      </c>
      <c r="AD3072" s="4" t="s">
        <v>8268</v>
      </c>
    </row>
    <row r="3073" spans="1:30" ht="36" customHeight="1">
      <c r="A3073" s="19" t="s">
        <v>8271</v>
      </c>
      <c r="B3073" s="19" t="s">
        <v>8275</v>
      </c>
      <c r="C3073" s="204" t="s">
        <v>24</v>
      </c>
      <c r="D3073" s="204" t="s">
        <v>1245</v>
      </c>
      <c r="E3073" s="204" t="s">
        <v>116</v>
      </c>
      <c r="F3073" s="4" t="s">
        <v>74</v>
      </c>
      <c r="G3073" s="4" t="s">
        <v>74</v>
      </c>
      <c r="H3073" s="204" t="s">
        <v>524</v>
      </c>
      <c r="I3073" s="204">
        <v>1996</v>
      </c>
      <c r="J3073" s="14">
        <v>0</v>
      </c>
      <c r="K3073" s="21">
        <v>0</v>
      </c>
      <c r="L3073" s="21">
        <v>0</v>
      </c>
      <c r="M3073" s="21">
        <v>0</v>
      </c>
      <c r="N3073" s="21">
        <v>0</v>
      </c>
      <c r="O3073" s="21">
        <v>0</v>
      </c>
      <c r="P3073" s="21">
        <v>0</v>
      </c>
      <c r="Q3073" s="21">
        <v>0</v>
      </c>
      <c r="R3073" s="21">
        <v>0</v>
      </c>
      <c r="S3073" s="21">
        <v>0</v>
      </c>
      <c r="T3073" s="21">
        <v>0</v>
      </c>
      <c r="U3073" s="21">
        <v>0</v>
      </c>
      <c r="V3073" s="21">
        <v>0</v>
      </c>
      <c r="W3073" s="21">
        <v>0</v>
      </c>
      <c r="X3073" s="21">
        <v>0</v>
      </c>
      <c r="Y3073" s="204" t="s">
        <v>2276</v>
      </c>
      <c r="Z3073" s="204" t="s">
        <v>2276</v>
      </c>
      <c r="AA3073" s="204" t="s">
        <v>2276</v>
      </c>
      <c r="AB3073" s="204" t="s">
        <v>2276</v>
      </c>
      <c r="AC3073" s="204"/>
      <c r="AD3073" s="204"/>
    </row>
    <row r="3074" spans="1:30" ht="33" customHeight="1">
      <c r="A3074" s="19" t="s">
        <v>8271</v>
      </c>
      <c r="B3074" s="19" t="s">
        <v>8276</v>
      </c>
      <c r="C3074" s="204" t="s">
        <v>2656</v>
      </c>
      <c r="D3074" s="204" t="s">
        <v>2276</v>
      </c>
      <c r="E3074" s="204" t="s">
        <v>1105</v>
      </c>
      <c r="F3074" s="4" t="s">
        <v>2276</v>
      </c>
      <c r="G3074" s="4" t="s">
        <v>74</v>
      </c>
      <c r="H3074" s="204" t="s">
        <v>523</v>
      </c>
      <c r="I3074" s="204"/>
      <c r="J3074" s="204" t="s">
        <v>2276</v>
      </c>
      <c r="K3074" s="204" t="s">
        <v>2276</v>
      </c>
      <c r="L3074" s="204" t="s">
        <v>2276</v>
      </c>
      <c r="M3074" s="204" t="s">
        <v>2276</v>
      </c>
      <c r="N3074" s="204" t="s">
        <v>2276</v>
      </c>
      <c r="O3074" s="204" t="s">
        <v>2276</v>
      </c>
      <c r="P3074" s="204" t="s">
        <v>2276</v>
      </c>
      <c r="Q3074" s="204" t="s">
        <v>2276</v>
      </c>
      <c r="R3074" s="21">
        <v>0.1</v>
      </c>
      <c r="S3074" s="204" t="s">
        <v>2276</v>
      </c>
      <c r="T3074" s="204" t="s">
        <v>2276</v>
      </c>
      <c r="U3074" s="204" t="s">
        <v>2276</v>
      </c>
      <c r="V3074" s="204" t="s">
        <v>2276</v>
      </c>
      <c r="W3074" s="204" t="s">
        <v>2276</v>
      </c>
      <c r="X3074" s="204" t="s">
        <v>2276</v>
      </c>
      <c r="Y3074" s="204" t="s">
        <v>2276</v>
      </c>
      <c r="Z3074" s="204" t="s">
        <v>2276</v>
      </c>
      <c r="AA3074" s="204" t="s">
        <v>2276</v>
      </c>
      <c r="AB3074" s="204" t="s">
        <v>2276</v>
      </c>
      <c r="AC3074" s="204"/>
      <c r="AD3074" s="204"/>
    </row>
    <row r="3075" spans="1:30" ht="40" customHeight="1">
      <c r="A3075" s="19" t="s">
        <v>8271</v>
      </c>
      <c r="B3075" s="19" t="s">
        <v>8280</v>
      </c>
      <c r="C3075" s="204" t="s">
        <v>24</v>
      </c>
      <c r="D3075" s="204" t="s">
        <v>1245</v>
      </c>
      <c r="E3075" s="204" t="s">
        <v>116</v>
      </c>
      <c r="F3075" s="4" t="s">
        <v>74</v>
      </c>
      <c r="G3075" s="4" t="s">
        <v>74</v>
      </c>
      <c r="H3075" s="204" t="s">
        <v>523</v>
      </c>
      <c r="I3075" s="204">
        <v>1950</v>
      </c>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2276</v>
      </c>
      <c r="Y3075" s="204" t="s">
        <v>2276</v>
      </c>
      <c r="Z3075" s="204" t="s">
        <v>2276</v>
      </c>
      <c r="AA3075" s="204" t="s">
        <v>189</v>
      </c>
      <c r="AB3075" s="204" t="s">
        <v>38</v>
      </c>
      <c r="AC3075" s="204"/>
      <c r="AD3075" s="204"/>
    </row>
    <row r="3076" spans="1:30" ht="38" customHeight="1">
      <c r="A3076" s="19" t="s">
        <v>8271</v>
      </c>
      <c r="B3076" s="19" t="s">
        <v>8282</v>
      </c>
      <c r="C3076" s="204" t="s">
        <v>24</v>
      </c>
      <c r="D3076" s="204" t="s">
        <v>3480</v>
      </c>
      <c r="E3076" s="204" t="s">
        <v>116</v>
      </c>
      <c r="F3076" s="4" t="s">
        <v>74</v>
      </c>
      <c r="G3076" s="4" t="s">
        <v>74</v>
      </c>
      <c r="H3076" s="204" t="s">
        <v>523</v>
      </c>
      <c r="I3076" s="204">
        <v>1950</v>
      </c>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2276</v>
      </c>
      <c r="AA3076" s="204" t="s">
        <v>189</v>
      </c>
      <c r="AB3076" s="204" t="s">
        <v>38</v>
      </c>
      <c r="AC3076" s="204"/>
      <c r="AD3076" s="204"/>
    </row>
    <row r="3077" spans="1:30" ht="33.5" customHeight="1">
      <c r="A3077" s="19" t="s">
        <v>8284</v>
      </c>
      <c r="B3077" s="19" t="s">
        <v>8288</v>
      </c>
      <c r="C3077" s="204" t="s">
        <v>24</v>
      </c>
      <c r="D3077" s="204" t="s">
        <v>1242</v>
      </c>
      <c r="E3077" s="204" t="s">
        <v>116</v>
      </c>
      <c r="F3077" s="4" t="s">
        <v>2662</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t="s">
        <v>2276</v>
      </c>
      <c r="AB3077" s="204" t="s">
        <v>2276</v>
      </c>
      <c r="AC3077" s="204"/>
      <c r="AD3077" s="204"/>
    </row>
    <row r="3078" spans="1:30" ht="33.5" customHeight="1">
      <c r="A3078" s="19" t="s">
        <v>8285</v>
      </c>
      <c r="B3078" s="19" t="s">
        <v>8289</v>
      </c>
      <c r="C3078" s="204" t="s">
        <v>24</v>
      </c>
      <c r="D3078" s="204" t="s">
        <v>1242</v>
      </c>
      <c r="E3078" s="204" t="s">
        <v>116</v>
      </c>
      <c r="F3078" s="4" t="s">
        <v>2662</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t="s">
        <v>2276</v>
      </c>
      <c r="AB3078" s="204" t="s">
        <v>2276</v>
      </c>
      <c r="AC3078" s="204"/>
      <c r="AD3078" s="204"/>
    </row>
    <row r="3079" spans="1:30" ht="33.5" customHeight="1">
      <c r="A3079" s="19" t="s">
        <v>8286</v>
      </c>
      <c r="B3079" s="19" t="s">
        <v>8290</v>
      </c>
      <c r="C3079" s="204" t="s">
        <v>24</v>
      </c>
      <c r="D3079" s="204" t="s">
        <v>1242</v>
      </c>
      <c r="E3079" s="204" t="s">
        <v>116</v>
      </c>
      <c r="F3079" s="4" t="s">
        <v>2662</v>
      </c>
      <c r="G3079" s="4" t="s">
        <v>2662</v>
      </c>
      <c r="H3079" s="204" t="s">
        <v>523</v>
      </c>
      <c r="I3079" s="204"/>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t="s">
        <v>2276</v>
      </c>
      <c r="AB3079" s="204" t="s">
        <v>2276</v>
      </c>
      <c r="AC3079" s="204"/>
      <c r="AD3079" s="204"/>
    </row>
    <row r="3080" spans="1:30" ht="33.5" customHeight="1">
      <c r="A3080" s="19" t="s">
        <v>8284</v>
      </c>
      <c r="B3080" s="19" t="s">
        <v>8293</v>
      </c>
      <c r="C3080" s="204" t="s">
        <v>24</v>
      </c>
      <c r="D3080" s="204" t="s">
        <v>1242</v>
      </c>
      <c r="E3080" s="204" t="s">
        <v>3209</v>
      </c>
      <c r="F3080" s="4" t="s">
        <v>2662</v>
      </c>
      <c r="G3080" s="4" t="s">
        <v>2662</v>
      </c>
      <c r="H3080" s="204" t="s">
        <v>523</v>
      </c>
      <c r="I3080" s="204"/>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t="s">
        <v>2276</v>
      </c>
      <c r="AB3080" s="204" t="s">
        <v>2276</v>
      </c>
      <c r="AC3080" s="204"/>
      <c r="AD3080" s="204"/>
    </row>
    <row r="3081" spans="1:30" ht="33.5" customHeight="1">
      <c r="A3081" s="19" t="s">
        <v>8285</v>
      </c>
      <c r="B3081" s="19" t="s">
        <v>8294</v>
      </c>
      <c r="C3081" s="204" t="s">
        <v>24</v>
      </c>
      <c r="D3081" s="204" t="s">
        <v>1242</v>
      </c>
      <c r="E3081" s="204" t="s">
        <v>3209</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t="s">
        <v>2276</v>
      </c>
      <c r="AB3081" s="204" t="s">
        <v>2276</v>
      </c>
      <c r="AC3081" s="204"/>
      <c r="AD3081" s="204"/>
    </row>
    <row r="3082" spans="1:30" ht="33.5" customHeight="1">
      <c r="A3082" s="19" t="s">
        <v>8286</v>
      </c>
      <c r="B3082" s="19" t="s">
        <v>8291</v>
      </c>
      <c r="C3082" s="204" t="s">
        <v>24</v>
      </c>
      <c r="D3082" s="204" t="s">
        <v>1242</v>
      </c>
      <c r="E3082" s="204" t="s">
        <v>3209</v>
      </c>
      <c r="F3082" s="4" t="s">
        <v>2662</v>
      </c>
      <c r="G3082" s="4" t="s">
        <v>2662</v>
      </c>
      <c r="H3082" s="204" t="s">
        <v>523</v>
      </c>
      <c r="I3082" s="204"/>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t="s">
        <v>2276</v>
      </c>
      <c r="AB3082" s="204" t="s">
        <v>2276</v>
      </c>
      <c r="AC3082" s="204"/>
      <c r="AD3082" s="204"/>
    </row>
    <row r="3083" spans="1:30" ht="33.5" customHeight="1">
      <c r="A3083" s="19" t="s">
        <v>8286</v>
      </c>
      <c r="B3083" s="19" t="s">
        <v>8292</v>
      </c>
      <c r="C3083" s="204" t="s">
        <v>24</v>
      </c>
      <c r="D3083" s="204" t="s">
        <v>3480</v>
      </c>
      <c r="E3083" s="204" t="s">
        <v>116</v>
      </c>
      <c r="F3083" s="4" t="s">
        <v>2662</v>
      </c>
      <c r="G3083" s="4" t="s">
        <v>2662</v>
      </c>
      <c r="H3083" s="204" t="s">
        <v>523</v>
      </c>
      <c r="I3083" s="204"/>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t="s">
        <v>2276</v>
      </c>
      <c r="AB3083" s="204" t="s">
        <v>2276</v>
      </c>
      <c r="AC3083" s="204"/>
      <c r="AD3083" s="204"/>
    </row>
    <row r="3084" spans="1:30" ht="29.5" customHeight="1">
      <c r="A3084" s="19" t="s">
        <v>8299</v>
      </c>
      <c r="B3084" s="19" t="s">
        <v>8301</v>
      </c>
      <c r="C3084" s="204" t="s">
        <v>24</v>
      </c>
      <c r="D3084" s="204" t="s">
        <v>406</v>
      </c>
      <c r="E3084" s="204" t="s">
        <v>116</v>
      </c>
      <c r="F3084" s="4" t="s">
        <v>2662</v>
      </c>
      <c r="G3084" s="4" t="s">
        <v>2662</v>
      </c>
      <c r="H3084" s="204" t="s">
        <v>523</v>
      </c>
      <c r="I3084" s="204"/>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t="s">
        <v>2276</v>
      </c>
      <c r="AB3084" s="204" t="s">
        <v>2276</v>
      </c>
      <c r="AC3084" s="204"/>
      <c r="AD3084" s="204"/>
    </row>
    <row r="3085" spans="1:30" ht="31" customHeight="1">
      <c r="A3085" s="19" t="s">
        <v>8299</v>
      </c>
      <c r="B3085" s="19" t="s">
        <v>8302</v>
      </c>
      <c r="C3085" s="204" t="s">
        <v>24</v>
      </c>
      <c r="D3085" s="204" t="s">
        <v>3480</v>
      </c>
      <c r="E3085" s="204" t="s">
        <v>116</v>
      </c>
      <c r="F3085" s="4" t="s">
        <v>2662</v>
      </c>
      <c r="G3085" s="4" t="s">
        <v>2662</v>
      </c>
      <c r="H3085" s="204" t="s">
        <v>523</v>
      </c>
      <c r="I3085" s="204"/>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t="s">
        <v>2276</v>
      </c>
      <c r="AB3085" s="204" t="s">
        <v>2276</v>
      </c>
      <c r="AC3085" s="204"/>
      <c r="AD3085" s="204"/>
    </row>
    <row r="3086" spans="1:30" ht="28" customHeight="1">
      <c r="A3086" s="19" t="s">
        <v>8299</v>
      </c>
      <c r="B3086" s="19" t="s">
        <v>8303</v>
      </c>
      <c r="C3086" s="204" t="s">
        <v>24</v>
      </c>
      <c r="D3086" s="204" t="s">
        <v>1245</v>
      </c>
      <c r="E3086" s="204" t="s">
        <v>116</v>
      </c>
      <c r="F3086" s="4" t="s">
        <v>2662</v>
      </c>
      <c r="G3086" s="4" t="s">
        <v>2662</v>
      </c>
      <c r="H3086" s="204" t="s">
        <v>523</v>
      </c>
      <c r="I3086" s="204"/>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t="s">
        <v>2276</v>
      </c>
      <c r="AB3086" s="204" t="s">
        <v>2276</v>
      </c>
      <c r="AC3086" s="204"/>
      <c r="AD3086" s="204"/>
    </row>
    <row r="3087" spans="1:30" ht="35.5" customHeight="1">
      <c r="A3087" s="19" t="s">
        <v>8299</v>
      </c>
      <c r="B3087" s="19" t="s">
        <v>8308</v>
      </c>
      <c r="C3087" s="204" t="s">
        <v>24</v>
      </c>
      <c r="D3087" s="204" t="s">
        <v>2659</v>
      </c>
      <c r="E3087" s="204" t="s">
        <v>2649</v>
      </c>
      <c r="F3087" s="4" t="s">
        <v>74</v>
      </c>
      <c r="G3087" s="4" t="s">
        <v>2276</v>
      </c>
      <c r="H3087" s="204" t="s">
        <v>523</v>
      </c>
      <c r="I3087" s="204"/>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2276</v>
      </c>
      <c r="AB3087" s="204" t="s">
        <v>2276</v>
      </c>
      <c r="AC3087" s="204" t="s">
        <v>8312</v>
      </c>
      <c r="AD3087" s="204"/>
    </row>
    <row r="3088" spans="1:30" ht="31" customHeight="1">
      <c r="A3088" s="19" t="s">
        <v>8299</v>
      </c>
      <c r="B3088" s="19" t="s">
        <v>8309</v>
      </c>
      <c r="C3088" s="204" t="s">
        <v>24</v>
      </c>
      <c r="D3088" s="204" t="s">
        <v>61</v>
      </c>
      <c r="E3088" s="204" t="s">
        <v>2649</v>
      </c>
      <c r="F3088" s="4" t="s">
        <v>74</v>
      </c>
      <c r="G3088" s="4" t="s">
        <v>2276</v>
      </c>
      <c r="H3088" s="204" t="s">
        <v>523</v>
      </c>
      <c r="I3088" s="204"/>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t="s">
        <v>2276</v>
      </c>
      <c r="AB3088" s="204" t="s">
        <v>2276</v>
      </c>
      <c r="AC3088" s="204"/>
      <c r="AD3088" s="204"/>
    </row>
    <row r="3089" spans="1:30" ht="29">
      <c r="A3089" s="19" t="s">
        <v>8299</v>
      </c>
      <c r="B3089" s="19" t="s">
        <v>8310</v>
      </c>
      <c r="C3089" s="204" t="s">
        <v>24</v>
      </c>
      <c r="D3089" s="204" t="s">
        <v>1242</v>
      </c>
      <c r="E3089" s="204" t="s">
        <v>116</v>
      </c>
      <c r="F3089" s="4" t="s">
        <v>2662</v>
      </c>
      <c r="G3089" s="4" t="s">
        <v>2662</v>
      </c>
      <c r="H3089" s="204" t="s">
        <v>523</v>
      </c>
      <c r="I3089" s="204"/>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t="s">
        <v>2276</v>
      </c>
      <c r="AB3089" s="204" t="s">
        <v>2276</v>
      </c>
      <c r="AC3089" s="204"/>
      <c r="AD3089" s="204"/>
    </row>
    <row r="3090" spans="1:30" ht="29">
      <c r="A3090" s="19" t="s">
        <v>8299</v>
      </c>
      <c r="B3090" s="19" t="s">
        <v>8311</v>
      </c>
      <c r="C3090" s="204" t="s">
        <v>24</v>
      </c>
      <c r="D3090" s="204" t="s">
        <v>26</v>
      </c>
      <c r="E3090" s="204" t="s">
        <v>116</v>
      </c>
      <c r="F3090" s="4" t="s">
        <v>2662</v>
      </c>
      <c r="G3090" s="4" t="s">
        <v>2662</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t="s">
        <v>2276</v>
      </c>
      <c r="AB3090" s="204" t="s">
        <v>2276</v>
      </c>
      <c r="AC3090" s="204"/>
      <c r="AD3090" s="204"/>
    </row>
    <row r="3091" spans="1:30" ht="59.5" customHeight="1">
      <c r="A3091" s="19" t="s">
        <v>8314</v>
      </c>
      <c r="B3091" s="19" t="s">
        <v>8325</v>
      </c>
      <c r="C3091" s="204" t="s">
        <v>24</v>
      </c>
      <c r="D3091" s="204" t="s">
        <v>2659</v>
      </c>
      <c r="E3091" s="4" t="s">
        <v>3854</v>
      </c>
      <c r="F3091" s="4" t="s">
        <v>28</v>
      </c>
      <c r="G3091" s="204" t="s">
        <v>2276</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189</v>
      </c>
      <c r="AA3091" s="204" t="s">
        <v>86</v>
      </c>
      <c r="AB3091" s="204" t="s">
        <v>64</v>
      </c>
      <c r="AC3091" s="204"/>
      <c r="AD3091" s="204"/>
    </row>
    <row r="3092" spans="1:30" ht="59.5" customHeight="1">
      <c r="A3092" s="19" t="s">
        <v>8314</v>
      </c>
      <c r="B3092" s="19" t="s">
        <v>8326</v>
      </c>
      <c r="C3092" s="204" t="s">
        <v>24</v>
      </c>
      <c r="D3092" s="204" t="s">
        <v>27</v>
      </c>
      <c r="E3092" s="4" t="s">
        <v>3854</v>
      </c>
      <c r="F3092" s="4" t="s">
        <v>28</v>
      </c>
      <c r="G3092" s="204" t="s">
        <v>2276</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404</v>
      </c>
      <c r="AA3092" s="204" t="s">
        <v>425</v>
      </c>
      <c r="AB3092" s="204" t="s">
        <v>64</v>
      </c>
      <c r="AC3092" s="204"/>
      <c r="AD3092" s="204"/>
    </row>
    <row r="3093" spans="1:30" ht="59.5" customHeight="1">
      <c r="A3093" s="19" t="s">
        <v>8314</v>
      </c>
      <c r="B3093" s="19" t="s">
        <v>8327</v>
      </c>
      <c r="C3093" s="204" t="s">
        <v>24</v>
      </c>
      <c r="D3093" s="204" t="s">
        <v>2231</v>
      </c>
      <c r="E3093" s="4" t="s">
        <v>3854</v>
      </c>
      <c r="F3093" s="4" t="s">
        <v>2662</v>
      </c>
      <c r="G3093" s="204" t="s">
        <v>2276</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404</v>
      </c>
      <c r="AA3093" s="204" t="s">
        <v>425</v>
      </c>
      <c r="AB3093" s="204" t="s">
        <v>64</v>
      </c>
      <c r="AC3093" s="204"/>
      <c r="AD3093" s="204"/>
    </row>
    <row r="3094" spans="1:30" ht="59.5" customHeight="1">
      <c r="A3094" s="19" t="s">
        <v>8314</v>
      </c>
      <c r="B3094" s="19" t="s">
        <v>8328</v>
      </c>
      <c r="C3094" s="204" t="s">
        <v>24</v>
      </c>
      <c r="D3094" s="204" t="s">
        <v>25</v>
      </c>
      <c r="E3094" s="4" t="s">
        <v>3854</v>
      </c>
      <c r="F3094" s="4" t="s">
        <v>2662</v>
      </c>
      <c r="G3094" s="204" t="s">
        <v>2276</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404</v>
      </c>
      <c r="AA3094" s="204" t="s">
        <v>68</v>
      </c>
      <c r="AB3094" s="204" t="s">
        <v>64</v>
      </c>
      <c r="AC3094" s="204"/>
      <c r="AD3094" s="204"/>
    </row>
    <row r="3095" spans="1:30" ht="59.5" customHeight="1">
      <c r="A3095" s="19" t="s">
        <v>8314</v>
      </c>
      <c r="B3095" s="19" t="s">
        <v>8329</v>
      </c>
      <c r="C3095" s="204" t="s">
        <v>24</v>
      </c>
      <c r="D3095" s="204" t="s">
        <v>1245</v>
      </c>
      <c r="E3095" s="4" t="s">
        <v>3854</v>
      </c>
      <c r="F3095" s="4" t="s">
        <v>2662</v>
      </c>
      <c r="G3095" s="204" t="s">
        <v>2276</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425</v>
      </c>
      <c r="AA3095" s="204" t="s">
        <v>425</v>
      </c>
      <c r="AB3095" s="204" t="s">
        <v>64</v>
      </c>
      <c r="AC3095" s="204"/>
      <c r="AD3095" s="204"/>
    </row>
    <row r="3096" spans="1:30" ht="49" customHeight="1">
      <c r="A3096" s="19" t="s">
        <v>8315</v>
      </c>
      <c r="B3096" s="19" t="s">
        <v>8330</v>
      </c>
      <c r="C3096" s="204" t="s">
        <v>24</v>
      </c>
      <c r="D3096" s="204" t="s">
        <v>2659</v>
      </c>
      <c r="E3096" s="4" t="s">
        <v>3854</v>
      </c>
      <c r="F3096" s="4" t="s">
        <v>28</v>
      </c>
      <c r="G3096" s="204" t="s">
        <v>2276</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189</v>
      </c>
      <c r="AA3096" s="204" t="s">
        <v>86</v>
      </c>
      <c r="AB3096" s="204" t="s">
        <v>64</v>
      </c>
      <c r="AC3096" s="204"/>
      <c r="AD3096" s="204"/>
    </row>
    <row r="3097" spans="1:30" ht="49" customHeight="1">
      <c r="A3097" s="19" t="s">
        <v>8315</v>
      </c>
      <c r="B3097" s="19" t="s">
        <v>8331</v>
      </c>
      <c r="C3097" s="204" t="s">
        <v>24</v>
      </c>
      <c r="D3097" s="204" t="s">
        <v>27</v>
      </c>
      <c r="E3097" s="4" t="s">
        <v>3854</v>
      </c>
      <c r="F3097" s="4" t="s">
        <v>28</v>
      </c>
      <c r="G3097" s="204" t="s">
        <v>2276</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34</v>
      </c>
      <c r="AA3097" s="204" t="s">
        <v>404</v>
      </c>
      <c r="AB3097" s="204" t="s">
        <v>64</v>
      </c>
      <c r="AC3097" s="204"/>
      <c r="AD3097" s="204"/>
    </row>
    <row r="3098" spans="1:30" ht="49" customHeight="1">
      <c r="A3098" s="19" t="s">
        <v>8315</v>
      </c>
      <c r="B3098" s="19" t="s">
        <v>8332</v>
      </c>
      <c r="C3098" s="204" t="s">
        <v>24</v>
      </c>
      <c r="D3098" s="204" t="s">
        <v>2231</v>
      </c>
      <c r="E3098" s="4" t="s">
        <v>3854</v>
      </c>
      <c r="F3098" s="4" t="s">
        <v>2662</v>
      </c>
      <c r="G3098" s="204" t="s">
        <v>2276</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34</v>
      </c>
      <c r="AA3098" s="204" t="s">
        <v>404</v>
      </c>
      <c r="AB3098" s="204" t="s">
        <v>64</v>
      </c>
      <c r="AC3098" s="204"/>
      <c r="AD3098" s="204"/>
    </row>
    <row r="3099" spans="1:30" ht="49" customHeight="1">
      <c r="A3099" s="19" t="s">
        <v>8315</v>
      </c>
      <c r="B3099" s="19" t="s">
        <v>8333</v>
      </c>
      <c r="C3099" s="204" t="s">
        <v>24</v>
      </c>
      <c r="D3099" s="204" t="s">
        <v>25</v>
      </c>
      <c r="E3099" s="4" t="s">
        <v>3854</v>
      </c>
      <c r="F3099" s="4" t="s">
        <v>2662</v>
      </c>
      <c r="G3099" s="204" t="s">
        <v>2276</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34</v>
      </c>
      <c r="AA3099" s="204" t="s">
        <v>68</v>
      </c>
      <c r="AB3099" s="204" t="s">
        <v>64</v>
      </c>
      <c r="AC3099" s="204"/>
      <c r="AD3099" s="204"/>
    </row>
    <row r="3100" spans="1:30" ht="49" customHeight="1">
      <c r="A3100" s="19" t="s">
        <v>8315</v>
      </c>
      <c r="B3100" s="19" t="s">
        <v>8334</v>
      </c>
      <c r="C3100" s="204" t="s">
        <v>24</v>
      </c>
      <c r="D3100" s="204" t="s">
        <v>1245</v>
      </c>
      <c r="E3100" s="4" t="s">
        <v>3854</v>
      </c>
      <c r="F3100" s="4" t="s">
        <v>2662</v>
      </c>
      <c r="G3100" s="204" t="s">
        <v>2276</v>
      </c>
      <c r="H3100" s="204" t="s">
        <v>523</v>
      </c>
      <c r="I3100" s="204"/>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425</v>
      </c>
      <c r="AA3100" s="204" t="s">
        <v>425</v>
      </c>
      <c r="AB3100" s="204" t="s">
        <v>64</v>
      </c>
      <c r="AC3100" s="204"/>
      <c r="AD3100" s="204"/>
    </row>
    <row r="3101" spans="1:30" ht="51.5" customHeight="1">
      <c r="A3101" s="19" t="s">
        <v>8315</v>
      </c>
      <c r="B3101" s="19" t="s">
        <v>8335</v>
      </c>
      <c r="C3101" s="204" t="s">
        <v>24</v>
      </c>
      <c r="D3101" s="204" t="s">
        <v>2231</v>
      </c>
      <c r="E3101" s="4" t="s">
        <v>3854</v>
      </c>
      <c r="F3101" s="4" t="s">
        <v>2662</v>
      </c>
      <c r="G3101" s="204" t="s">
        <v>2276</v>
      </c>
      <c r="H3101" s="204" t="s">
        <v>523</v>
      </c>
      <c r="I3101" s="204"/>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399</v>
      </c>
      <c r="AA3101" s="204" t="s">
        <v>188</v>
      </c>
      <c r="AB3101" s="204" t="s">
        <v>64</v>
      </c>
      <c r="AC3101" s="204"/>
      <c r="AD3101" s="204"/>
    </row>
    <row r="3102" spans="1:30" ht="51.5" customHeight="1">
      <c r="A3102" s="19" t="s">
        <v>8318</v>
      </c>
      <c r="B3102" s="19" t="s">
        <v>8336</v>
      </c>
      <c r="C3102" s="204" t="s">
        <v>24</v>
      </c>
      <c r="D3102" s="204" t="s">
        <v>2659</v>
      </c>
      <c r="E3102" s="4" t="s">
        <v>3854</v>
      </c>
      <c r="F3102" s="4" t="s">
        <v>28</v>
      </c>
      <c r="G3102" s="204" t="s">
        <v>2276</v>
      </c>
      <c r="H3102" s="204" t="s">
        <v>524</v>
      </c>
      <c r="I3102" s="204"/>
      <c r="J3102" s="21">
        <v>0</v>
      </c>
      <c r="K3102" s="21">
        <v>0</v>
      </c>
      <c r="L3102" s="21">
        <v>0</v>
      </c>
      <c r="M3102" s="21">
        <v>0</v>
      </c>
      <c r="N3102" s="21">
        <v>0</v>
      </c>
      <c r="O3102" s="21">
        <v>0</v>
      </c>
      <c r="P3102" s="21">
        <v>0</v>
      </c>
      <c r="Q3102" s="21">
        <v>0</v>
      </c>
      <c r="R3102" s="21">
        <v>0</v>
      </c>
      <c r="S3102" s="21">
        <v>0</v>
      </c>
      <c r="T3102" s="21">
        <v>0</v>
      </c>
      <c r="U3102" s="21">
        <v>0</v>
      </c>
      <c r="V3102" s="21">
        <v>0</v>
      </c>
      <c r="W3102" s="21">
        <v>0</v>
      </c>
      <c r="X3102" s="21">
        <v>0</v>
      </c>
      <c r="Y3102" s="204" t="s">
        <v>2276</v>
      </c>
      <c r="Z3102" s="204" t="s">
        <v>2276</v>
      </c>
      <c r="AA3102" s="204" t="s">
        <v>2276</v>
      </c>
      <c r="AB3102" s="204" t="s">
        <v>2276</v>
      </c>
      <c r="AC3102" s="204"/>
      <c r="AD3102" s="204"/>
    </row>
    <row r="3103" spans="1:30" ht="51.5" customHeight="1">
      <c r="A3103" s="19" t="s">
        <v>8318</v>
      </c>
      <c r="B3103" s="19" t="s">
        <v>8337</v>
      </c>
      <c r="C3103" s="204" t="s">
        <v>24</v>
      </c>
      <c r="D3103" s="204" t="s">
        <v>27</v>
      </c>
      <c r="E3103" s="4" t="s">
        <v>3854</v>
      </c>
      <c r="F3103" s="4" t="s">
        <v>28</v>
      </c>
      <c r="G3103" s="204" t="s">
        <v>2276</v>
      </c>
      <c r="H3103" s="204" t="s">
        <v>523</v>
      </c>
      <c r="I3103" s="204"/>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189</v>
      </c>
      <c r="AA3103" s="204" t="s">
        <v>38</v>
      </c>
      <c r="AB3103" s="204" t="s">
        <v>64</v>
      </c>
      <c r="AC3103" s="204"/>
      <c r="AD3103" s="204"/>
    </row>
    <row r="3104" spans="1:30" ht="51.5" customHeight="1">
      <c r="A3104" s="19" t="s">
        <v>8318</v>
      </c>
      <c r="B3104" s="19" t="s">
        <v>8338</v>
      </c>
      <c r="C3104" s="204" t="s">
        <v>24</v>
      </c>
      <c r="D3104" s="204" t="s">
        <v>27</v>
      </c>
      <c r="E3104" s="4" t="s">
        <v>3854</v>
      </c>
      <c r="F3104" s="4" t="s">
        <v>28</v>
      </c>
      <c r="G3104" s="204" t="s">
        <v>2276</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68</v>
      </c>
      <c r="AA3104" s="204" t="s">
        <v>35</v>
      </c>
      <c r="AB3104" s="204" t="s">
        <v>64</v>
      </c>
      <c r="AC3104" s="204"/>
      <c r="AD3104" s="204"/>
    </row>
    <row r="3105" spans="1:30" ht="51.5" customHeight="1">
      <c r="A3105" s="19" t="s">
        <v>8318</v>
      </c>
      <c r="B3105" s="19" t="s">
        <v>8339</v>
      </c>
      <c r="C3105" s="204" t="s">
        <v>24</v>
      </c>
      <c r="D3105" s="204" t="s">
        <v>2231</v>
      </c>
      <c r="E3105" s="4" t="s">
        <v>3854</v>
      </c>
      <c r="F3105" s="4" t="s">
        <v>2662</v>
      </c>
      <c r="G3105" s="204" t="s">
        <v>2276</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68</v>
      </c>
      <c r="AA3105" s="204" t="s">
        <v>35</v>
      </c>
      <c r="AB3105" s="204" t="s">
        <v>64</v>
      </c>
      <c r="AC3105" s="204"/>
      <c r="AD3105" s="204"/>
    </row>
    <row r="3106" spans="1:30" ht="51.5" customHeight="1">
      <c r="A3106" s="19" t="s">
        <v>8318</v>
      </c>
      <c r="B3106" s="19" t="s">
        <v>8340</v>
      </c>
      <c r="C3106" s="204" t="s">
        <v>24</v>
      </c>
      <c r="D3106" s="204" t="s">
        <v>25</v>
      </c>
      <c r="E3106" s="4" t="s">
        <v>3854</v>
      </c>
      <c r="F3106" s="4" t="s">
        <v>2662</v>
      </c>
      <c r="G3106" s="204" t="s">
        <v>2276</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405</v>
      </c>
      <c r="AA3106" s="204" t="s">
        <v>35</v>
      </c>
      <c r="AB3106" s="204" t="s">
        <v>64</v>
      </c>
      <c r="AC3106" s="204"/>
      <c r="AD3106" s="204"/>
    </row>
    <row r="3107" spans="1:30" ht="51.5" customHeight="1">
      <c r="A3107" s="19" t="s">
        <v>8318</v>
      </c>
      <c r="B3107" s="19" t="s">
        <v>8341</v>
      </c>
      <c r="C3107" s="204" t="s">
        <v>24</v>
      </c>
      <c r="D3107" s="204" t="s">
        <v>1245</v>
      </c>
      <c r="E3107" s="4" t="s">
        <v>3854</v>
      </c>
      <c r="F3107" s="4" t="s">
        <v>2662</v>
      </c>
      <c r="G3107" s="204" t="s">
        <v>2276</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86</v>
      </c>
      <c r="AA3107" s="204" t="s">
        <v>35</v>
      </c>
      <c r="AB3107" s="204" t="s">
        <v>64</v>
      </c>
      <c r="AC3107" s="204"/>
      <c r="AD3107" s="204"/>
    </row>
    <row r="3108" spans="1:30" ht="51.5" customHeight="1">
      <c r="A3108" s="19" t="s">
        <v>8318</v>
      </c>
      <c r="B3108" s="19" t="s">
        <v>8342</v>
      </c>
      <c r="C3108" s="204" t="s">
        <v>24</v>
      </c>
      <c r="D3108" s="204" t="s">
        <v>3480</v>
      </c>
      <c r="E3108" s="4" t="s">
        <v>3854</v>
      </c>
      <c r="F3108" s="4" t="s">
        <v>74</v>
      </c>
      <c r="G3108" s="204" t="s">
        <v>2276</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204" t="s">
        <v>2276</v>
      </c>
      <c r="Z3108" s="204" t="s">
        <v>68</v>
      </c>
      <c r="AA3108" s="204" t="s">
        <v>127</v>
      </c>
      <c r="AB3108" s="204" t="s">
        <v>64</v>
      </c>
      <c r="AC3108" s="204"/>
      <c r="AD3108" s="204"/>
    </row>
    <row r="3109" spans="1:30" ht="51.5" customHeight="1">
      <c r="A3109" s="19" t="s">
        <v>8318</v>
      </c>
      <c r="B3109" s="19" t="s">
        <v>8343</v>
      </c>
      <c r="C3109" s="204" t="s">
        <v>24</v>
      </c>
      <c r="D3109" s="204" t="s">
        <v>26</v>
      </c>
      <c r="E3109" s="4" t="s">
        <v>3854</v>
      </c>
      <c r="F3109" s="4" t="s">
        <v>2662</v>
      </c>
      <c r="G3109" s="204" t="s">
        <v>2276</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38</v>
      </c>
      <c r="AA3109" s="204" t="s">
        <v>127</v>
      </c>
      <c r="AB3109" s="204" t="s">
        <v>64</v>
      </c>
      <c r="AC3109" s="204"/>
      <c r="AD3109" s="204"/>
    </row>
    <row r="3110" spans="1:30" ht="54.5" customHeight="1">
      <c r="A3110" s="19" t="s">
        <v>8319</v>
      </c>
      <c r="B3110" s="19" t="s">
        <v>8345</v>
      </c>
      <c r="C3110" s="204" t="s">
        <v>24</v>
      </c>
      <c r="D3110" s="204" t="s">
        <v>2659</v>
      </c>
      <c r="E3110" s="4" t="s">
        <v>3854</v>
      </c>
      <c r="F3110" s="4" t="s">
        <v>28</v>
      </c>
      <c r="G3110" s="204" t="s">
        <v>2276</v>
      </c>
      <c r="H3110" s="204" t="s">
        <v>524</v>
      </c>
      <c r="I3110" s="204"/>
      <c r="J3110" s="21">
        <v>0</v>
      </c>
      <c r="K3110" s="21">
        <v>0</v>
      </c>
      <c r="L3110" s="21">
        <v>0</v>
      </c>
      <c r="M3110" s="21">
        <v>0</v>
      </c>
      <c r="N3110" s="21">
        <v>0</v>
      </c>
      <c r="O3110" s="21">
        <v>0</v>
      </c>
      <c r="P3110" s="21">
        <v>0</v>
      </c>
      <c r="Q3110" s="21">
        <v>0</v>
      </c>
      <c r="R3110" s="21">
        <v>0</v>
      </c>
      <c r="S3110" s="21">
        <v>0</v>
      </c>
      <c r="T3110" s="21">
        <v>0</v>
      </c>
      <c r="U3110" s="21">
        <v>0</v>
      </c>
      <c r="V3110" s="21">
        <v>0</v>
      </c>
      <c r="W3110" s="21">
        <v>0</v>
      </c>
      <c r="X3110" s="21">
        <v>0</v>
      </c>
      <c r="Y3110" s="204" t="s">
        <v>2276</v>
      </c>
      <c r="Z3110" s="204" t="s">
        <v>2276</v>
      </c>
      <c r="AA3110" s="204" t="s">
        <v>2276</v>
      </c>
      <c r="AB3110" s="204" t="s">
        <v>2276</v>
      </c>
      <c r="AC3110" s="204"/>
      <c r="AD3110" s="204"/>
    </row>
    <row r="3111" spans="1:30" ht="54.5" customHeight="1">
      <c r="A3111" s="19" t="s">
        <v>8319</v>
      </c>
      <c r="B3111" s="19" t="s">
        <v>8346</v>
      </c>
      <c r="C3111" s="204" t="s">
        <v>24</v>
      </c>
      <c r="D3111" s="204" t="s">
        <v>27</v>
      </c>
      <c r="E3111" s="4" t="s">
        <v>3854</v>
      </c>
      <c r="F3111" s="4" t="s">
        <v>28</v>
      </c>
      <c r="G3111" s="204" t="s">
        <v>2276</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68</v>
      </c>
      <c r="AA3111" s="204" t="s">
        <v>35</v>
      </c>
      <c r="AB3111" s="204" t="s">
        <v>64</v>
      </c>
      <c r="AC3111" s="204"/>
      <c r="AD3111" s="204"/>
    </row>
    <row r="3112" spans="1:30" ht="54.5" customHeight="1">
      <c r="A3112" s="19" t="s">
        <v>8319</v>
      </c>
      <c r="B3112" s="19" t="s">
        <v>8347</v>
      </c>
      <c r="C3112" s="204" t="s">
        <v>24</v>
      </c>
      <c r="D3112" s="204" t="s">
        <v>2231</v>
      </c>
      <c r="E3112" s="4" t="s">
        <v>3854</v>
      </c>
      <c r="F3112" s="4" t="s">
        <v>28</v>
      </c>
      <c r="G3112" s="204" t="s">
        <v>2276</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68</v>
      </c>
      <c r="AA3112" s="204" t="s">
        <v>35</v>
      </c>
      <c r="AB3112" s="204" t="s">
        <v>64</v>
      </c>
      <c r="AC3112" s="204"/>
      <c r="AD3112" s="204"/>
    </row>
    <row r="3113" spans="1:30" ht="54.5" customHeight="1">
      <c r="A3113" s="19" t="s">
        <v>8319</v>
      </c>
      <c r="B3113" s="19" t="s">
        <v>8348</v>
      </c>
      <c r="C3113" s="204" t="s">
        <v>24</v>
      </c>
      <c r="D3113" s="204" t="s">
        <v>25</v>
      </c>
      <c r="E3113" s="4" t="s">
        <v>3854</v>
      </c>
      <c r="F3113" s="4" t="s">
        <v>2662</v>
      </c>
      <c r="G3113" s="204" t="s">
        <v>2276</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405</v>
      </c>
      <c r="AA3113" s="204" t="s">
        <v>35</v>
      </c>
      <c r="AB3113" s="204" t="s">
        <v>64</v>
      </c>
      <c r="AC3113" s="204"/>
      <c r="AD3113" s="204"/>
    </row>
    <row r="3114" spans="1:30" ht="54.5" customHeight="1">
      <c r="A3114" s="19" t="s">
        <v>8319</v>
      </c>
      <c r="B3114" s="19" t="s">
        <v>8349</v>
      </c>
      <c r="C3114" s="204" t="s">
        <v>24</v>
      </c>
      <c r="D3114" s="204" t="s">
        <v>1245</v>
      </c>
      <c r="E3114" s="4" t="s">
        <v>3854</v>
      </c>
      <c r="F3114" s="4" t="s">
        <v>2662</v>
      </c>
      <c r="G3114" s="204" t="s">
        <v>2276</v>
      </c>
      <c r="H3114" s="204" t="s">
        <v>523</v>
      </c>
      <c r="I3114" s="204"/>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2276</v>
      </c>
      <c r="Y3114" s="204" t="s">
        <v>2276</v>
      </c>
      <c r="Z3114" s="204" t="s">
        <v>86</v>
      </c>
      <c r="AA3114" s="204" t="s">
        <v>35</v>
      </c>
      <c r="AB3114" s="204" t="s">
        <v>64</v>
      </c>
      <c r="AC3114" s="204"/>
      <c r="AD3114" s="204"/>
    </row>
    <row r="3115" spans="1:30" ht="54.5" customHeight="1">
      <c r="A3115" s="19" t="s">
        <v>8319</v>
      </c>
      <c r="B3115" s="19" t="s">
        <v>8350</v>
      </c>
      <c r="C3115" s="204" t="s">
        <v>24</v>
      </c>
      <c r="D3115" s="204" t="s">
        <v>3480</v>
      </c>
      <c r="E3115" s="4" t="s">
        <v>3854</v>
      </c>
      <c r="F3115" s="4" t="s">
        <v>2662</v>
      </c>
      <c r="G3115" s="204" t="s">
        <v>2276</v>
      </c>
      <c r="H3115" s="204" t="s">
        <v>523</v>
      </c>
      <c r="I3115" s="204"/>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2276</v>
      </c>
      <c r="Y3115" s="204" t="s">
        <v>2276</v>
      </c>
      <c r="Z3115" s="204" t="s">
        <v>68</v>
      </c>
      <c r="AA3115" s="204" t="s">
        <v>127</v>
      </c>
      <c r="AB3115" s="204" t="s">
        <v>64</v>
      </c>
      <c r="AC3115" s="204"/>
      <c r="AD3115" s="204"/>
    </row>
    <row r="3116" spans="1:30" ht="54.5" customHeight="1">
      <c r="A3116" s="19" t="s">
        <v>8319</v>
      </c>
      <c r="B3116" s="19" t="s">
        <v>8351</v>
      </c>
      <c r="C3116" s="204" t="s">
        <v>24</v>
      </c>
      <c r="D3116" s="204" t="s">
        <v>26</v>
      </c>
      <c r="E3116" s="4" t="s">
        <v>3854</v>
      </c>
      <c r="F3116" s="4" t="s">
        <v>74</v>
      </c>
      <c r="G3116" s="204" t="s">
        <v>2276</v>
      </c>
      <c r="H3116" s="204" t="s">
        <v>523</v>
      </c>
      <c r="I3116" s="204"/>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38</v>
      </c>
      <c r="AA3116" s="204" t="s">
        <v>127</v>
      </c>
      <c r="AB3116" s="204" t="s">
        <v>64</v>
      </c>
      <c r="AC3116" s="204"/>
      <c r="AD3116" s="204"/>
    </row>
    <row r="3117" spans="1:30" ht="50.5" customHeight="1">
      <c r="A3117" s="19" t="s">
        <v>8314</v>
      </c>
      <c r="B3117" s="19" t="s">
        <v>8362</v>
      </c>
      <c r="C3117" s="204" t="s">
        <v>24</v>
      </c>
      <c r="D3117" s="204" t="s">
        <v>1105</v>
      </c>
      <c r="E3117" s="4" t="s">
        <v>3854</v>
      </c>
      <c r="F3117" s="4" t="s">
        <v>28</v>
      </c>
      <c r="G3117" s="4" t="s">
        <v>28</v>
      </c>
      <c r="H3117" s="204" t="s">
        <v>523</v>
      </c>
      <c r="I3117" s="204"/>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1">
        <f>AVERAGE(21, 10.8)</f>
        <v>15.9</v>
      </c>
      <c r="W3117" s="204" t="s">
        <v>2276</v>
      </c>
      <c r="X3117" s="21">
        <f>V3117*('Land use'!P1288/100)</f>
        <v>0.34980000000000006</v>
      </c>
      <c r="Y3117" s="204" t="s">
        <v>2276</v>
      </c>
      <c r="Z3117" s="204" t="s">
        <v>2276</v>
      </c>
      <c r="AA3117" s="204" t="s">
        <v>2276</v>
      </c>
      <c r="AB3117" s="204" t="s">
        <v>2276</v>
      </c>
      <c r="AC3117" s="204"/>
      <c r="AD3117" s="204"/>
    </row>
    <row r="3118" spans="1:30" ht="50.5" customHeight="1">
      <c r="A3118" s="19" t="s">
        <v>8315</v>
      </c>
      <c r="B3118" s="19" t="s">
        <v>8363</v>
      </c>
      <c r="C3118" s="204" t="s">
        <v>24</v>
      </c>
      <c r="D3118" s="204" t="s">
        <v>1105</v>
      </c>
      <c r="E3118" s="4" t="s">
        <v>3854</v>
      </c>
      <c r="F3118" s="4" t="s">
        <v>28</v>
      </c>
      <c r="G3118" s="4" t="s">
        <v>28</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1">
        <f>AVERAGE(41, 39)</f>
        <v>40</v>
      </c>
      <c r="W3118" s="204" t="s">
        <v>2276</v>
      </c>
      <c r="X3118" s="21">
        <f>V3118*('Land use'!P1289/100)</f>
        <v>0.96</v>
      </c>
      <c r="Y3118" s="204" t="s">
        <v>2276</v>
      </c>
      <c r="Z3118" s="204" t="s">
        <v>2276</v>
      </c>
      <c r="AA3118" s="204" t="s">
        <v>2276</v>
      </c>
      <c r="AB3118" s="204" t="s">
        <v>2276</v>
      </c>
      <c r="AC3118" s="204"/>
      <c r="AD3118" s="204"/>
    </row>
    <row r="3119" spans="1:30" ht="50.5" customHeight="1">
      <c r="A3119" s="19" t="s">
        <v>8318</v>
      </c>
      <c r="B3119" s="19" t="s">
        <v>8344</v>
      </c>
      <c r="C3119" s="204" t="s">
        <v>24</v>
      </c>
      <c r="D3119" s="204" t="s">
        <v>1105</v>
      </c>
      <c r="E3119" s="4" t="s">
        <v>3854</v>
      </c>
      <c r="F3119" s="4" t="s">
        <v>28</v>
      </c>
      <c r="G3119" s="4" t="s">
        <v>28</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1">
        <f>AVERAGE(0.9, 3.5)</f>
        <v>2.2000000000000002</v>
      </c>
      <c r="W3119" s="204" t="s">
        <v>2276</v>
      </c>
      <c r="X3119" s="21">
        <f>V3119*('Land use'!P1290/100)</f>
        <v>1.0912000000000002</v>
      </c>
      <c r="Y3119" s="204" t="s">
        <v>2276</v>
      </c>
      <c r="Z3119" s="204" t="s">
        <v>2276</v>
      </c>
      <c r="AA3119" s="204" t="s">
        <v>2276</v>
      </c>
      <c r="AB3119" s="204" t="s">
        <v>2276</v>
      </c>
      <c r="AC3119" s="204"/>
      <c r="AD3119" s="4" t="s">
        <v>8374</v>
      </c>
    </row>
    <row r="3120" spans="1:30" ht="50.5" customHeight="1">
      <c r="A3120" s="19" t="s">
        <v>8319</v>
      </c>
      <c r="B3120" s="19" t="s">
        <v>8364</v>
      </c>
      <c r="C3120" s="204" t="s">
        <v>24</v>
      </c>
      <c r="D3120" s="204" t="s">
        <v>1105</v>
      </c>
      <c r="E3120" s="4" t="s">
        <v>3854</v>
      </c>
      <c r="F3120" s="4" t="s">
        <v>28</v>
      </c>
      <c r="G3120" s="4" t="s">
        <v>28</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1">
        <f>AVERAGE(5.1, 14.9)</f>
        <v>10</v>
      </c>
      <c r="W3120" s="204" t="s">
        <v>2276</v>
      </c>
      <c r="X3120" s="21">
        <f>V3120*('Land use'!P1291/100)</f>
        <v>3.06</v>
      </c>
      <c r="Y3120" s="204" t="s">
        <v>2276</v>
      </c>
      <c r="Z3120" s="204" t="s">
        <v>2276</v>
      </c>
      <c r="AA3120" s="204" t="s">
        <v>2276</v>
      </c>
      <c r="AB3120" s="204" t="s">
        <v>2276</v>
      </c>
      <c r="AC3120" s="204"/>
      <c r="AD3120" s="4" t="s">
        <v>8374</v>
      </c>
    </row>
    <row r="3121" spans="1:30" ht="48" customHeight="1">
      <c r="A3121" s="19" t="s">
        <v>8314</v>
      </c>
      <c r="B3121" s="19" t="s">
        <v>8365</v>
      </c>
      <c r="C3121" s="204" t="s">
        <v>24</v>
      </c>
      <c r="D3121" s="204" t="s">
        <v>1105</v>
      </c>
      <c r="E3121" s="4" t="s">
        <v>3854</v>
      </c>
      <c r="F3121" s="4" t="s">
        <v>2662</v>
      </c>
      <c r="G3121" s="4" t="s">
        <v>2662</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1">
        <f>AVERAGE(3, 23.6)</f>
        <v>13.3</v>
      </c>
      <c r="W3121" s="204" t="s">
        <v>2276</v>
      </c>
      <c r="X3121" s="21">
        <f>V3121*(71.7/100)</f>
        <v>9.5361000000000011</v>
      </c>
      <c r="Y3121" s="204" t="s">
        <v>2276</v>
      </c>
      <c r="Z3121" s="204" t="s">
        <v>2276</v>
      </c>
      <c r="AA3121" s="204" t="s">
        <v>2276</v>
      </c>
      <c r="AB3121" s="204" t="s">
        <v>2276</v>
      </c>
      <c r="AC3121" s="204"/>
      <c r="AD3121" s="4" t="s">
        <v>8373</v>
      </c>
    </row>
    <row r="3122" spans="1:30" ht="48" customHeight="1">
      <c r="A3122" s="19" t="s">
        <v>8315</v>
      </c>
      <c r="B3122" s="19" t="s">
        <v>8366</v>
      </c>
      <c r="C3122" s="204" t="s">
        <v>24</v>
      </c>
      <c r="D3122" s="204" t="s">
        <v>1105</v>
      </c>
      <c r="E3122" s="4" t="s">
        <v>3854</v>
      </c>
      <c r="F3122" s="4" t="s">
        <v>2662</v>
      </c>
      <c r="G3122" s="4" t="s">
        <v>2662</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1">
        <f>AVERAGE(14, 33)</f>
        <v>23.5</v>
      </c>
      <c r="W3122" s="204" t="s">
        <v>2276</v>
      </c>
      <c r="X3122" s="21">
        <f>V3122*(80.7/100)</f>
        <v>18.964500000000001</v>
      </c>
      <c r="Y3122" s="204" t="s">
        <v>2276</v>
      </c>
      <c r="Z3122" s="204" t="s">
        <v>2276</v>
      </c>
      <c r="AA3122" s="204" t="s">
        <v>2276</v>
      </c>
      <c r="AB3122" s="204" t="s">
        <v>2276</v>
      </c>
      <c r="AC3122" s="204"/>
      <c r="AD3122" s="4" t="s">
        <v>8373</v>
      </c>
    </row>
    <row r="3123" spans="1:30" ht="48" customHeight="1">
      <c r="A3123" s="19" t="s">
        <v>8318</v>
      </c>
      <c r="B3123" s="19" t="s">
        <v>8367</v>
      </c>
      <c r="C3123" s="204" t="s">
        <v>24</v>
      </c>
      <c r="D3123" s="204" t="s">
        <v>1105</v>
      </c>
      <c r="E3123" s="4" t="s">
        <v>3854</v>
      </c>
      <c r="F3123" s="4" t="s">
        <v>2662</v>
      </c>
      <c r="G3123" s="4" t="s">
        <v>2662</v>
      </c>
      <c r="H3123" s="204" t="s">
        <v>523</v>
      </c>
      <c r="I3123" s="204"/>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1">
        <f>AVERAGE(36.7, 13.7)</f>
        <v>25.200000000000003</v>
      </c>
      <c r="W3123" s="204" t="s">
        <v>2276</v>
      </c>
      <c r="X3123" s="21">
        <f>V3123*(39.6/100)</f>
        <v>9.9792000000000023</v>
      </c>
      <c r="Y3123" s="204" t="s">
        <v>2276</v>
      </c>
      <c r="Z3123" s="204" t="s">
        <v>2276</v>
      </c>
      <c r="AA3123" s="204" t="s">
        <v>2276</v>
      </c>
      <c r="AB3123" s="204" t="s">
        <v>2276</v>
      </c>
      <c r="AC3123" s="204"/>
      <c r="AD3123" s="4" t="s">
        <v>8373</v>
      </c>
    </row>
    <row r="3124" spans="1:30" ht="48" customHeight="1">
      <c r="A3124" s="19" t="s">
        <v>8319</v>
      </c>
      <c r="B3124" s="19" t="s">
        <v>8368</v>
      </c>
      <c r="C3124" s="204" t="s">
        <v>24</v>
      </c>
      <c r="D3124" s="204" t="s">
        <v>1105</v>
      </c>
      <c r="E3124" s="4" t="s">
        <v>3854</v>
      </c>
      <c r="F3124" s="4" t="s">
        <v>2662</v>
      </c>
      <c r="G3124" s="4" t="s">
        <v>2662</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1">
        <f>AVERAGE(53, 49)</f>
        <v>51</v>
      </c>
      <c r="W3124" s="204" t="s">
        <v>2276</v>
      </c>
      <c r="X3124" s="21">
        <f>V3124*(57.6/100)</f>
        <v>29.376000000000005</v>
      </c>
      <c r="Y3124" s="204" t="s">
        <v>2276</v>
      </c>
      <c r="Z3124" s="204" t="s">
        <v>2276</v>
      </c>
      <c r="AA3124" s="204" t="s">
        <v>2276</v>
      </c>
      <c r="AB3124" s="204" t="s">
        <v>2276</v>
      </c>
      <c r="AC3124" s="204"/>
      <c r="AD3124" s="4" t="s">
        <v>8373</v>
      </c>
    </row>
    <row r="3125" spans="1:30" ht="45" customHeight="1">
      <c r="A3125" s="19" t="s">
        <v>8314</v>
      </c>
      <c r="B3125" s="19" t="s">
        <v>8369</v>
      </c>
      <c r="C3125" s="204" t="s">
        <v>24</v>
      </c>
      <c r="D3125" s="204" t="s">
        <v>1105</v>
      </c>
      <c r="E3125" s="4" t="s">
        <v>3854</v>
      </c>
      <c r="F3125" s="4" t="s">
        <v>2276</v>
      </c>
      <c r="G3125" s="4" t="s">
        <v>2276</v>
      </c>
      <c r="H3125" s="204" t="s">
        <v>523</v>
      </c>
      <c r="I3125" s="204"/>
      <c r="J3125" s="21">
        <f>66.5/2/'Record info'!K1292</f>
        <v>0.38439306358381503</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34</v>
      </c>
      <c r="AA3125" s="204" t="s">
        <v>35</v>
      </c>
      <c r="AB3125" s="204" t="s">
        <v>64</v>
      </c>
      <c r="AC3125" s="204"/>
      <c r="AD3125" s="4" t="s">
        <v>8379</v>
      </c>
    </row>
    <row r="3126" spans="1:30" ht="45" customHeight="1">
      <c r="A3126" s="19" t="s">
        <v>8315</v>
      </c>
      <c r="B3126" s="19" t="s">
        <v>8370</v>
      </c>
      <c r="C3126" s="204" t="s">
        <v>24</v>
      </c>
      <c r="D3126" s="204" t="s">
        <v>1105</v>
      </c>
      <c r="E3126" s="4" t="s">
        <v>3854</v>
      </c>
      <c r="F3126" s="4" t="s">
        <v>2276</v>
      </c>
      <c r="G3126" s="4" t="s">
        <v>2276</v>
      </c>
      <c r="H3126" s="204" t="s">
        <v>523</v>
      </c>
      <c r="I3126" s="204"/>
      <c r="J3126" s="21">
        <f>66.5/2/'Record info'!K1292</f>
        <v>0.38439306358381503</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34</v>
      </c>
      <c r="AA3126" s="204" t="s">
        <v>35</v>
      </c>
      <c r="AB3126" s="204" t="s">
        <v>64</v>
      </c>
      <c r="AC3126" s="204"/>
      <c r="AD3126" s="4" t="s">
        <v>8379</v>
      </c>
    </row>
    <row r="3127" spans="1:30" ht="45" customHeight="1">
      <c r="A3127" s="19" t="s">
        <v>8318</v>
      </c>
      <c r="B3127" s="19" t="s">
        <v>8371</v>
      </c>
      <c r="C3127" s="204" t="s">
        <v>24</v>
      </c>
      <c r="D3127" s="204" t="s">
        <v>1105</v>
      </c>
      <c r="E3127" s="4" t="s">
        <v>3854</v>
      </c>
      <c r="F3127" s="4" t="s">
        <v>2276</v>
      </c>
      <c r="G3127" s="4" t="s">
        <v>2276</v>
      </c>
      <c r="H3127" s="204" t="s">
        <v>523</v>
      </c>
      <c r="I3127" s="204"/>
      <c r="J3127" s="21">
        <f>233.5/2/'Record info'!K1293</f>
        <v>3.6257763975155277</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86</v>
      </c>
      <c r="AA3127" s="204" t="s">
        <v>127</v>
      </c>
      <c r="AB3127" s="204" t="s">
        <v>64</v>
      </c>
      <c r="AC3127" s="204"/>
      <c r="AD3127" s="4" t="s">
        <v>8380</v>
      </c>
    </row>
    <row r="3128" spans="1:30" ht="45" customHeight="1">
      <c r="A3128" s="19" t="s">
        <v>8319</v>
      </c>
      <c r="B3128" s="19" t="s">
        <v>8372</v>
      </c>
      <c r="C3128" s="204" t="s">
        <v>24</v>
      </c>
      <c r="D3128" s="204" t="s">
        <v>1105</v>
      </c>
      <c r="E3128" s="4" t="s">
        <v>3854</v>
      </c>
      <c r="F3128" s="4" t="s">
        <v>2276</v>
      </c>
      <c r="G3128" s="4" t="s">
        <v>2276</v>
      </c>
      <c r="H3128" s="204" t="s">
        <v>523</v>
      </c>
      <c r="I3128" s="204"/>
      <c r="J3128" s="21">
        <f>233.5/2/'Record info'!K1293</f>
        <v>3.6257763975155277</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86</v>
      </c>
      <c r="AA3128" s="204" t="s">
        <v>127</v>
      </c>
      <c r="AB3128" s="204" t="s">
        <v>64</v>
      </c>
      <c r="AC3128" s="204"/>
      <c r="AD3128" s="4" t="s">
        <v>8380</v>
      </c>
    </row>
    <row r="3129" spans="1:30" ht="49" customHeight="1">
      <c r="A3129" s="19" t="s">
        <v>8314</v>
      </c>
      <c r="B3129" s="19" t="s">
        <v>8375</v>
      </c>
      <c r="C3129" s="204" t="s">
        <v>2458</v>
      </c>
      <c r="D3129" s="204" t="s">
        <v>1105</v>
      </c>
      <c r="E3129" s="4" t="s">
        <v>3854</v>
      </c>
      <c r="F3129" s="4" t="s">
        <v>2662</v>
      </c>
      <c r="G3129" s="204" t="s">
        <v>74</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t="s">
        <v>2276</v>
      </c>
      <c r="AB3129" s="204" t="s">
        <v>2276</v>
      </c>
      <c r="AC3129" s="204"/>
      <c r="AD3129" s="204"/>
    </row>
    <row r="3130" spans="1:30" ht="49" customHeight="1">
      <c r="A3130" s="19" t="s">
        <v>8315</v>
      </c>
      <c r="B3130" s="19" t="s">
        <v>8376</v>
      </c>
      <c r="C3130" s="204" t="s">
        <v>2458</v>
      </c>
      <c r="D3130" s="204" t="s">
        <v>1105</v>
      </c>
      <c r="E3130" s="4" t="s">
        <v>3854</v>
      </c>
      <c r="F3130" s="4" t="s">
        <v>2662</v>
      </c>
      <c r="G3130" s="204" t="s">
        <v>74</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t="s">
        <v>2276</v>
      </c>
      <c r="AB3130" s="204" t="s">
        <v>2276</v>
      </c>
      <c r="AC3130" s="204"/>
      <c r="AD3130" s="204"/>
    </row>
    <row r="3131" spans="1:30" ht="49" customHeight="1">
      <c r="A3131" s="19" t="s">
        <v>8318</v>
      </c>
      <c r="B3131" s="19" t="s">
        <v>8377</v>
      </c>
      <c r="C3131" s="204" t="s">
        <v>2458</v>
      </c>
      <c r="D3131" s="204" t="s">
        <v>1105</v>
      </c>
      <c r="E3131" s="4" t="s">
        <v>3854</v>
      </c>
      <c r="F3131" s="4" t="s">
        <v>2662</v>
      </c>
      <c r="G3131" s="204" t="s">
        <v>74</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t="s">
        <v>2276</v>
      </c>
      <c r="AB3131" s="204" t="s">
        <v>2276</v>
      </c>
      <c r="AC3131" s="204"/>
      <c r="AD3131" s="204"/>
    </row>
    <row r="3132" spans="1:30" ht="49" customHeight="1">
      <c r="A3132" s="19" t="s">
        <v>8319</v>
      </c>
      <c r="B3132" s="19" t="s">
        <v>8378</v>
      </c>
      <c r="C3132" s="204" t="s">
        <v>2458</v>
      </c>
      <c r="D3132" s="204" t="s">
        <v>1105</v>
      </c>
      <c r="E3132" s="4" t="s">
        <v>3854</v>
      </c>
      <c r="F3132" s="4" t="s">
        <v>2662</v>
      </c>
      <c r="G3132" s="204" t="s">
        <v>74</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t="s">
        <v>2276</v>
      </c>
      <c r="AB3132" s="204" t="s">
        <v>2276</v>
      </c>
      <c r="AC3132" s="204"/>
      <c r="AD3132" s="204"/>
    </row>
    <row r="3133" spans="1:30" ht="36" customHeight="1">
      <c r="A3133" s="19" t="s">
        <v>8355</v>
      </c>
      <c r="B3133" s="19" t="s">
        <v>8386</v>
      </c>
      <c r="C3133" s="204" t="s">
        <v>24</v>
      </c>
      <c r="D3133" s="204" t="s">
        <v>2659</v>
      </c>
      <c r="E3133" s="4" t="s">
        <v>396</v>
      </c>
      <c r="F3133" s="4" t="s">
        <v>28</v>
      </c>
      <c r="G3133" s="204" t="s">
        <v>2276</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2276</v>
      </c>
      <c r="Y3133" s="21">
        <v>1</v>
      </c>
      <c r="Z3133" s="204" t="s">
        <v>68</v>
      </c>
      <c r="AA3133" s="204" t="s">
        <v>35</v>
      </c>
      <c r="AB3133" s="204" t="s">
        <v>2276</v>
      </c>
      <c r="AC3133" s="204"/>
      <c r="AD3133" s="204"/>
    </row>
    <row r="3134" spans="1:30" ht="36" customHeight="1">
      <c r="A3134" s="19" t="s">
        <v>8355</v>
      </c>
      <c r="B3134" s="19" t="s">
        <v>8387</v>
      </c>
      <c r="C3134" s="204" t="s">
        <v>24</v>
      </c>
      <c r="D3134" s="204" t="s">
        <v>2659</v>
      </c>
      <c r="E3134" s="4" t="s">
        <v>396</v>
      </c>
      <c r="F3134" s="4" t="s">
        <v>28</v>
      </c>
      <c r="G3134" s="204" t="s">
        <v>2276</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2276</v>
      </c>
      <c r="Y3134" s="21">
        <v>1</v>
      </c>
      <c r="Z3134" s="204" t="s">
        <v>86</v>
      </c>
      <c r="AA3134" s="204" t="s">
        <v>34</v>
      </c>
      <c r="AB3134" s="204" t="s">
        <v>2276</v>
      </c>
      <c r="AC3134" s="204"/>
      <c r="AD3134" s="204"/>
    </row>
    <row r="3135" spans="1:30" ht="36" customHeight="1">
      <c r="A3135" s="19" t="s">
        <v>8384</v>
      </c>
      <c r="B3135" s="19" t="s">
        <v>8388</v>
      </c>
      <c r="C3135" s="204" t="s">
        <v>24</v>
      </c>
      <c r="D3135" s="204" t="s">
        <v>2659</v>
      </c>
      <c r="E3135" s="4" t="s">
        <v>396</v>
      </c>
      <c r="F3135" s="4" t="s">
        <v>28</v>
      </c>
      <c r="G3135" s="204" t="s">
        <v>2276</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2276</v>
      </c>
      <c r="Y3135" s="21">
        <v>1</v>
      </c>
      <c r="Z3135" s="204" t="s">
        <v>68</v>
      </c>
      <c r="AA3135" s="204" t="s">
        <v>35</v>
      </c>
      <c r="AB3135" s="204" t="s">
        <v>2276</v>
      </c>
      <c r="AC3135" s="204"/>
      <c r="AD3135" s="204"/>
    </row>
    <row r="3136" spans="1:30" ht="36" customHeight="1">
      <c r="A3136" s="19" t="s">
        <v>8384</v>
      </c>
      <c r="B3136" s="19" t="s">
        <v>8389</v>
      </c>
      <c r="C3136" s="204" t="s">
        <v>24</v>
      </c>
      <c r="D3136" s="204" t="s">
        <v>2659</v>
      </c>
      <c r="E3136" s="4" t="s">
        <v>396</v>
      </c>
      <c r="F3136" s="4" t="s">
        <v>28</v>
      </c>
      <c r="G3136" s="204" t="s">
        <v>2276</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2276</v>
      </c>
      <c r="Y3136" s="21">
        <v>1</v>
      </c>
      <c r="Z3136" s="204" t="s">
        <v>86</v>
      </c>
      <c r="AA3136" s="204" t="s">
        <v>34</v>
      </c>
      <c r="AB3136" s="204" t="s">
        <v>2276</v>
      </c>
      <c r="AC3136" s="204"/>
      <c r="AD3136" s="204"/>
    </row>
    <row r="3137" spans="1:30" ht="36" customHeight="1">
      <c r="A3137" s="19" t="s">
        <v>8390</v>
      </c>
      <c r="B3137" s="19" t="s">
        <v>8392</v>
      </c>
      <c r="C3137" s="204" t="s">
        <v>24</v>
      </c>
      <c r="D3137" s="204" t="s">
        <v>2659</v>
      </c>
      <c r="E3137" s="4" t="s">
        <v>396</v>
      </c>
      <c r="F3137" s="4" t="s">
        <v>28</v>
      </c>
      <c r="G3137" s="204" t="s">
        <v>2276</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2276</v>
      </c>
      <c r="Y3137" s="21">
        <v>1</v>
      </c>
      <c r="Z3137" s="204" t="s">
        <v>68</v>
      </c>
      <c r="AA3137" s="204" t="s">
        <v>35</v>
      </c>
      <c r="AB3137" s="204" t="s">
        <v>2276</v>
      </c>
      <c r="AC3137" s="204"/>
      <c r="AD3137" s="204"/>
    </row>
    <row r="3138" spans="1:30" ht="36" customHeight="1">
      <c r="A3138" s="19" t="s">
        <v>8390</v>
      </c>
      <c r="B3138" s="19" t="s">
        <v>8393</v>
      </c>
      <c r="C3138" s="204" t="s">
        <v>24</v>
      </c>
      <c r="D3138" s="204" t="s">
        <v>2659</v>
      </c>
      <c r="E3138" s="4" t="s">
        <v>396</v>
      </c>
      <c r="F3138" s="4" t="s">
        <v>28</v>
      </c>
      <c r="G3138" s="204" t="s">
        <v>2276</v>
      </c>
      <c r="H3138" s="204" t="s">
        <v>523</v>
      </c>
      <c r="I3138" s="204"/>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1">
        <v>1</v>
      </c>
      <c r="Z3138" s="204" t="s">
        <v>86</v>
      </c>
      <c r="AA3138" s="204" t="s">
        <v>34</v>
      </c>
      <c r="AB3138" s="204" t="s">
        <v>2276</v>
      </c>
      <c r="AC3138" s="204"/>
      <c r="AD3138" s="204"/>
    </row>
    <row r="3139" spans="1:30" ht="36" customHeight="1">
      <c r="A3139" s="19" t="s">
        <v>8390</v>
      </c>
      <c r="B3139" s="19" t="s">
        <v>8394</v>
      </c>
      <c r="C3139" s="204" t="s">
        <v>24</v>
      </c>
      <c r="D3139" s="204" t="s">
        <v>2659</v>
      </c>
      <c r="E3139" s="4" t="s">
        <v>397</v>
      </c>
      <c r="F3139" s="4" t="s">
        <v>28</v>
      </c>
      <c r="G3139" s="204" t="s">
        <v>2276</v>
      </c>
      <c r="H3139" s="204" t="s">
        <v>523</v>
      </c>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1">
        <v>1</v>
      </c>
      <c r="Z3139" s="204" t="s">
        <v>68</v>
      </c>
      <c r="AA3139" s="204" t="s">
        <v>35</v>
      </c>
      <c r="AB3139" s="204" t="s">
        <v>2276</v>
      </c>
      <c r="AC3139" s="204"/>
      <c r="AD3139" s="204"/>
    </row>
    <row r="3140" spans="1:30" ht="36" customHeight="1">
      <c r="A3140" s="19" t="s">
        <v>8390</v>
      </c>
      <c r="B3140" s="19" t="s">
        <v>8395</v>
      </c>
      <c r="C3140" s="204" t="s">
        <v>24</v>
      </c>
      <c r="D3140" s="204" t="s">
        <v>2659</v>
      </c>
      <c r="E3140" s="4" t="s">
        <v>397</v>
      </c>
      <c r="F3140" s="4" t="s">
        <v>28</v>
      </c>
      <c r="G3140" s="204" t="s">
        <v>2276</v>
      </c>
      <c r="H3140" s="204" t="s">
        <v>524</v>
      </c>
      <c r="I3140" s="204"/>
      <c r="J3140" s="21">
        <v>0</v>
      </c>
      <c r="K3140" s="21">
        <v>0</v>
      </c>
      <c r="L3140" s="21">
        <v>0</v>
      </c>
      <c r="M3140" s="21">
        <v>0</v>
      </c>
      <c r="N3140" s="21">
        <v>0</v>
      </c>
      <c r="O3140" s="21">
        <v>0</v>
      </c>
      <c r="P3140" s="21">
        <v>0</v>
      </c>
      <c r="Q3140" s="21">
        <v>0</v>
      </c>
      <c r="R3140" s="21">
        <v>0</v>
      </c>
      <c r="S3140" s="21">
        <v>0</v>
      </c>
      <c r="T3140" s="21">
        <v>0</v>
      </c>
      <c r="U3140" s="21">
        <v>0</v>
      </c>
      <c r="V3140" s="21">
        <v>0</v>
      </c>
      <c r="W3140" s="21">
        <v>0</v>
      </c>
      <c r="X3140" s="21">
        <v>0</v>
      </c>
      <c r="Y3140" s="204" t="s">
        <v>2276</v>
      </c>
      <c r="Z3140" s="204" t="s">
        <v>86</v>
      </c>
      <c r="AA3140" s="204" t="s">
        <v>34</v>
      </c>
      <c r="AB3140" s="204" t="s">
        <v>2276</v>
      </c>
      <c r="AC3140" s="204"/>
      <c r="AD3140" s="204"/>
    </row>
    <row r="3141" spans="1:30" ht="40" customHeight="1">
      <c r="A3141" s="19" t="s">
        <v>8415</v>
      </c>
      <c r="B3141" s="19" t="s">
        <v>8417</v>
      </c>
      <c r="C3141" s="204" t="s">
        <v>24</v>
      </c>
      <c r="D3141" s="204" t="s">
        <v>2659</v>
      </c>
      <c r="E3141" s="204" t="s">
        <v>84</v>
      </c>
      <c r="F3141" s="4" t="s">
        <v>28</v>
      </c>
      <c r="G3141" s="204" t="s">
        <v>2276</v>
      </c>
      <c r="H3141" s="204" t="s">
        <v>523</v>
      </c>
      <c r="I3141" s="204">
        <v>1980</v>
      </c>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1">
        <f>6000/'Record info'!$K1297</f>
        <v>2.4742778201612404E-2</v>
      </c>
      <c r="Y3141" s="21">
        <v>1</v>
      </c>
      <c r="Z3141" s="204" t="s">
        <v>2276</v>
      </c>
      <c r="AA3141" s="204" t="s">
        <v>2276</v>
      </c>
      <c r="AB3141" s="204" t="s">
        <v>2276</v>
      </c>
      <c r="AC3141" s="204"/>
      <c r="AD3141" s="204"/>
    </row>
    <row r="3142" spans="1:30" ht="47" customHeight="1">
      <c r="A3142" s="19" t="s">
        <v>8415</v>
      </c>
      <c r="B3142" s="19" t="s">
        <v>8418</v>
      </c>
      <c r="C3142" s="204" t="s">
        <v>24</v>
      </c>
      <c r="D3142" s="204" t="s">
        <v>2659</v>
      </c>
      <c r="E3142" s="204" t="s">
        <v>84</v>
      </c>
      <c r="F3142" s="4" t="s">
        <v>28</v>
      </c>
      <c r="G3142" s="204" t="s">
        <v>2276</v>
      </c>
      <c r="H3142" s="204" t="s">
        <v>524</v>
      </c>
      <c r="I3142" s="204">
        <v>1992</v>
      </c>
      <c r="J3142" s="21">
        <v>0</v>
      </c>
      <c r="K3142" s="21">
        <v>0</v>
      </c>
      <c r="L3142" s="21">
        <v>0</v>
      </c>
      <c r="M3142" s="21">
        <v>0</v>
      </c>
      <c r="N3142" s="21">
        <v>0</v>
      </c>
      <c r="O3142" s="21">
        <v>0</v>
      </c>
      <c r="P3142" s="21">
        <v>0</v>
      </c>
      <c r="Q3142" s="21">
        <v>0</v>
      </c>
      <c r="R3142" s="21">
        <v>0</v>
      </c>
      <c r="S3142" s="21">
        <v>0</v>
      </c>
      <c r="T3142" s="21">
        <v>0</v>
      </c>
      <c r="U3142" s="21">
        <v>0</v>
      </c>
      <c r="V3142" s="21">
        <v>0</v>
      </c>
      <c r="W3142" s="21">
        <v>0</v>
      </c>
      <c r="X3142" s="21">
        <v>0</v>
      </c>
      <c r="Y3142" s="204" t="s">
        <v>2276</v>
      </c>
      <c r="Z3142" s="204" t="s">
        <v>2276</v>
      </c>
      <c r="AA3142" s="204" t="s">
        <v>2276</v>
      </c>
      <c r="AB3142" s="204" t="s">
        <v>2276</v>
      </c>
      <c r="AC3142" s="204"/>
      <c r="AD3142" s="204"/>
    </row>
    <row r="3143" spans="1:30" ht="42" customHeight="1">
      <c r="A3143" s="19" t="s">
        <v>8424</v>
      </c>
      <c r="B3143" s="19" t="s">
        <v>8427</v>
      </c>
      <c r="C3143" s="204" t="s">
        <v>24</v>
      </c>
      <c r="D3143" s="204" t="s">
        <v>2659</v>
      </c>
      <c r="E3143" s="204" t="s">
        <v>84</v>
      </c>
      <c r="F3143" s="4" t="s">
        <v>28</v>
      </c>
      <c r="G3143" s="204" t="s">
        <v>2276</v>
      </c>
      <c r="H3143" s="204" t="s">
        <v>523</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1">
        <f>((303000*0.404686)/0.83)/'Record info'!$K$1299</f>
        <v>0.34121248279256949</v>
      </c>
      <c r="Y3143" s="204" t="s">
        <v>2276</v>
      </c>
      <c r="Z3143" s="204" t="s">
        <v>38</v>
      </c>
      <c r="AA3143" s="204" t="s">
        <v>35</v>
      </c>
      <c r="AB3143" s="204" t="s">
        <v>76</v>
      </c>
      <c r="AC3143" s="204"/>
      <c r="AD3143" s="204"/>
    </row>
    <row r="3144" spans="1:30" ht="42" customHeight="1">
      <c r="A3144" s="19" t="s">
        <v>8424</v>
      </c>
      <c r="B3144" s="19" t="s">
        <v>8428</v>
      </c>
      <c r="C3144" s="204" t="s">
        <v>24</v>
      </c>
      <c r="D3144" s="204" t="s">
        <v>2659</v>
      </c>
      <c r="E3144" s="204" t="s">
        <v>84</v>
      </c>
      <c r="F3144" s="4" t="s">
        <v>28</v>
      </c>
      <c r="G3144" s="204" t="s">
        <v>2276</v>
      </c>
      <c r="H3144" s="204" t="s">
        <v>523</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1">
        <f>((306000*0.404686)/0.78)/'Record info'!$K$1299</f>
        <v>0.36667997960420068</v>
      </c>
      <c r="Y3144" s="204" t="s">
        <v>2276</v>
      </c>
      <c r="Z3144" s="204" t="s">
        <v>38</v>
      </c>
      <c r="AA3144" s="204" t="s">
        <v>35</v>
      </c>
      <c r="AB3144" s="204" t="s">
        <v>76</v>
      </c>
      <c r="AC3144" s="204"/>
      <c r="AD3144" s="204"/>
    </row>
    <row r="3145" spans="1:30" ht="35.5" customHeight="1">
      <c r="A3145" s="19" t="s">
        <v>8424</v>
      </c>
      <c r="B3145" s="19" t="s">
        <v>8429</v>
      </c>
      <c r="C3145" s="204" t="s">
        <v>24</v>
      </c>
      <c r="D3145" s="204" t="s">
        <v>2659</v>
      </c>
      <c r="E3145" s="204" t="s">
        <v>84</v>
      </c>
      <c r="F3145" s="4" t="s">
        <v>28</v>
      </c>
      <c r="G3145" s="204" t="s">
        <v>2276</v>
      </c>
      <c r="H3145" s="204" t="s">
        <v>523</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1">
        <f>((293000*0.404686)/0.9)/'Record info'!$K$1299</f>
        <v>0.30428846237742924</v>
      </c>
      <c r="Y3145" s="204" t="s">
        <v>2276</v>
      </c>
      <c r="Z3145" s="204" t="s">
        <v>38</v>
      </c>
      <c r="AA3145" s="204" t="s">
        <v>35</v>
      </c>
      <c r="AB3145" s="204" t="s">
        <v>76</v>
      </c>
      <c r="AC3145" s="204"/>
      <c r="AD3145" s="204"/>
    </row>
    <row r="3146" spans="1:30" ht="35.5" customHeight="1">
      <c r="A3146" s="19" t="s">
        <v>8424</v>
      </c>
      <c r="B3146" s="19" t="s">
        <v>8430</v>
      </c>
      <c r="C3146" s="204" t="s">
        <v>24</v>
      </c>
      <c r="D3146" s="204" t="s">
        <v>2659</v>
      </c>
      <c r="E3146" s="204" t="s">
        <v>84</v>
      </c>
      <c r="F3146" s="4" t="s">
        <v>28</v>
      </c>
      <c r="G3146" s="204" t="s">
        <v>2276</v>
      </c>
      <c r="H3146" s="204" t="s">
        <v>523</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1">
        <f>((268000*0.404686)/0.74)/'Record info'!$K$1299</f>
        <v>0.33850372255989275</v>
      </c>
      <c r="Y3146" s="204" t="s">
        <v>2276</v>
      </c>
      <c r="Z3146" s="204" t="s">
        <v>38</v>
      </c>
      <c r="AA3146" s="204" t="s">
        <v>35</v>
      </c>
      <c r="AB3146" s="204" t="s">
        <v>76</v>
      </c>
      <c r="AC3146" s="204"/>
      <c r="AD3146" s="204"/>
    </row>
    <row r="3147" spans="1:30" ht="35.5" customHeight="1">
      <c r="A3147" s="19" t="s">
        <v>8424</v>
      </c>
      <c r="B3147" s="19" t="s">
        <v>8431</v>
      </c>
      <c r="C3147" s="204" t="s">
        <v>24</v>
      </c>
      <c r="D3147" s="204" t="s">
        <v>2659</v>
      </c>
      <c r="E3147" s="204" t="s">
        <v>84</v>
      </c>
      <c r="F3147" s="4" t="s">
        <v>28</v>
      </c>
      <c r="G3147" s="204" t="s">
        <v>2276</v>
      </c>
      <c r="H3147" s="204" t="s">
        <v>523</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1">
        <f>((211000*0.404686)/0.85)/'Record info'!$K$1299</f>
        <v>0.23201918893986678</v>
      </c>
      <c r="Y3147" s="204" t="s">
        <v>2276</v>
      </c>
      <c r="Z3147" s="204" t="s">
        <v>38</v>
      </c>
      <c r="AA3147" s="204" t="s">
        <v>35</v>
      </c>
      <c r="AB3147" s="204" t="s">
        <v>76</v>
      </c>
      <c r="AC3147" s="204"/>
      <c r="AD3147" s="204"/>
    </row>
    <row r="3148" spans="1:30" ht="36.5" customHeight="1">
      <c r="A3148" s="19" t="s">
        <v>8424</v>
      </c>
      <c r="B3148" s="19" t="s">
        <v>8432</v>
      </c>
      <c r="C3148" s="204" t="s">
        <v>24</v>
      </c>
      <c r="D3148" s="204" t="s">
        <v>2659</v>
      </c>
      <c r="E3148" s="204" t="s">
        <v>84</v>
      </c>
      <c r="F3148" s="4" t="s">
        <v>28</v>
      </c>
      <c r="G3148" s="204" t="s">
        <v>2276</v>
      </c>
      <c r="H3148" s="204" t="s">
        <v>523</v>
      </c>
      <c r="I3148" s="11">
        <v>1980</v>
      </c>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1">
        <f>((425000*0.404686)/AVERAGE(0.83, 0.78, 0.9, 0.74, 0.85))/'Record info'!$K$1299</f>
        <v>0.48443493240392371</v>
      </c>
      <c r="Y3148" s="204" t="s">
        <v>2276</v>
      </c>
      <c r="Z3148" s="204" t="s">
        <v>38</v>
      </c>
      <c r="AA3148" s="204" t="s">
        <v>35</v>
      </c>
      <c r="AB3148" s="204" t="s">
        <v>76</v>
      </c>
      <c r="AC3148" s="204"/>
      <c r="AD3148" s="204"/>
    </row>
    <row r="3149" spans="1:30" ht="39" customHeight="1">
      <c r="A3149" s="19" t="s">
        <v>8420</v>
      </c>
      <c r="B3149" s="19" t="s">
        <v>8421</v>
      </c>
      <c r="C3149" s="204" t="s">
        <v>24</v>
      </c>
      <c r="D3149" s="204" t="s">
        <v>2659</v>
      </c>
      <c r="E3149" s="204" t="s">
        <v>84</v>
      </c>
      <c r="F3149" s="4" t="s">
        <v>28</v>
      </c>
      <c r="G3149" s="204" t="s">
        <v>2276</v>
      </c>
      <c r="H3149" s="204" t="s">
        <v>523</v>
      </c>
      <c r="I3149" s="204">
        <v>1992</v>
      </c>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68</v>
      </c>
      <c r="AA3149" s="204" t="s">
        <v>68</v>
      </c>
      <c r="AB3149" s="204" t="s">
        <v>2276</v>
      </c>
      <c r="AC3149" s="204"/>
      <c r="AD3149" s="204"/>
    </row>
    <row r="3150" spans="1:30" ht="45.5" customHeight="1">
      <c r="A3150" s="19" t="s">
        <v>8433</v>
      </c>
      <c r="B3150" s="19" t="s">
        <v>8435</v>
      </c>
      <c r="C3150" s="204" t="s">
        <v>24</v>
      </c>
      <c r="D3150" s="204" t="s">
        <v>2659</v>
      </c>
      <c r="E3150" s="204" t="s">
        <v>84</v>
      </c>
      <c r="F3150" s="4" t="s">
        <v>28</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t="s">
        <v>2276</v>
      </c>
      <c r="AB3150" s="204" t="s">
        <v>2276</v>
      </c>
      <c r="AC3150" s="204"/>
      <c r="AD3150" s="204"/>
    </row>
  </sheetData>
  <autoFilter ref="A1:A2911"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1031" yWindow="845" count="15">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10:Y2910 J2513:X2514 J2528:X2528 J2523:X2523 J2546:X2547 J2555:X2562 J2642:W2644 T2638:T2817 U2804:W2806 J2804:S2806 J2786:S2788 J2768:S2770 J2750:S2752 J2732:S2734 J2714:S2716 J2696:S2698 J2678:S2680 J2660:S2662 U2660:W2662 U2678:W2680 U2696:W2698 U2714:W2716 U2732:W2734 U2750:W2752 U2768:W2770 U2786:W2788 J2878:Y2878 J2895:Y2895 J2905:Y2905 J2469 J2494:J2495 J2491:J2492 Y2472 K2459:R2462 L2463:O2473 Q2463:R2473 P2464:P2473 S2462:W2473 W2459:W2460 X2464:X2473 Y2462:Y2466 Y2468 Y2470 J2473 J2471 X2462 J2500:J2502 S2459:S2460 U2459:U2460 J2922:W2923 J2932:W2933 J2958 J2968:W2968 J2970:W2970 J2983:X2983 K2990:X2990 J2990:J2994 J3038:X3038 J3041:X3047 J3059:J3062 P3059:P3062 J3073:X3073 J3102:X3102 J3110:X3110 J3125:J3128 J2459:J2467 J2439:W2439 J2436:W2436 J2433:W2433 J2430:W2430 J2427:W2427 J2442:W2442 J2447:X2447 K2454:X2455 J2454:J2456 J3140:X3140 J3142:X3142 J3151:J1048576"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10 O2516:P2516 O2524:O2525 N2839:N2840 N2837 T2843:T2844 X2843:X2844 P2837:P2844 K2456:R2456 P2494:P2495 P2491:P2492 P2463 R2501:R2502 N2500 L2500 P2500:P2502 K2912:K2914 M2914 O2912:O2914 R2956 R2958 Q2980:Q2981 K2980:K2981 M2980:M2981 M3020 K3020 P3021 N3039 P3039 R3074 K3151: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45 T2545 S2550 X2563:X2637 T2564:T2637 T2818:T2836 T2491:T2492 T2494:T2495 T2497:T2502 S2456:T2456 S2461 T2459:T2461 S3151: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58 Y2469 Y2467 Y2473 Y2471 Y2925:Y2931 Y2969 Y2986 Y3023 Y3039 Y3067 Y2389:Y2400 Y3133:Y3139 Y2456 Y3141 Y3151:Y1048576"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U2388 V2507 X2515 V2515 W2550 X2459:X2461 X2497:X2500 V2501:V2502 U2461 W2461 U2456:W2456 V2935 V3117:V3124 W2449 V2459:V2461 X3141 X3143:X3148 U3151: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50:A2554 B2503:B2506 B2157:B2162 A2189:A2400 B2145:B2148 B2510:B2514 F2524:F2525 B2531:B2536 B2545:B2547 A2443:A2444 A2727 A2745 A2818:A2838 F2555:F2836 G2528:G2836 A2912:A2924 B2955:B2958 B2953 B2963:B2965 B2968:B2970 B2973:B2974 A2933:A2990 A3020:A3040 B3055:B3066 B3077:B3083 B3091:B3116 B3133:B3140 A2403:A2424 B2454:B2455 B3143:B3148 A3055: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07:B2509 B2515:B2530 B2537:B2544 B2548:B2554 B2727 B2745 B2818:B2838 B2845:B2924 B2933:B2952 B2954 B2959:B2962 B2966:B2967 B2971:B2972 B2975:B2990 B3020:B3041 B3048 B3067:B3076 B3084:B3090 B3117:B3132 B2456:B2502 B2383:B2453 B3141:B3142 B3149: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55:B2726 A2728:B2744 A2746:B2817 A2839:B2844 A2845:A2911 A2925:B2932 A3041:A3054 B3042:B3047 B3049:B3054 A2445:A2449"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62 T2563 AD2555:AD2567 I2313:I2495 I2497: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2991:B3019 A2425:A2442"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09 X2507:X2509 X2548 X2638:X2836 X2456 X2491:X2492 X2494:X2495 X2463 X2935 X2952:X2955 X2958 X3039 X3048:X3054 X3117:X3124 X3151:X1048576" xr:uid="{587A3FE1-607A-450B-8FA6-4B088290225A}">
      <formula1>0</formula1>
      <formula2>100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031" yWindow="845" count="22">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AB2500 AB2503:AB2506 AB2517 AB2519 AB2563:AB2842 AB2925:AB2931 AB2937:AB2951 AB2986 AB3022:AB3038 AB3040 AB3059:AB3072 AB3091:AB3101 AB3103:AB3109 AB3111:AB3116 AB3125:AB3128 AB3143:AB3148 AB3151:AB1048576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H2454:H2455 H2427 H2430 H2433 H2436 H2439 H2442 H2447 H2459:H1048576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G2503:G2504 F2519:G2519 F2512:F2516 G2512:G2517 G2523:G2527 G2520 F2520:F2523 F2526:F2554 F2467:F2509 F2459 F2461 F2837:G2923 G2924:G2936 F2925:F2934 F2975:G2977 F2986 F2995:F2998 F3000:F3003 F3005:F3007 F3010:F3014 F3016:F3017 F3020:G3020 G3021:G3022 F3022:F3023 F3038:F3040 G3024:G3090 G3117:G3128 F3048:F1048576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Z2459:AA2462 W2501:X2502 V2496:X2496 P2511:P2512 J2503:AA2506 J2507:U2509 Y2507:AB2509 W2507:W2509 V2508 J2510:O2512 Q2510:AB2512 X2516:AB2516 J2515:U2515 W2515:W2522 J2516:N2516 Q2516:V2516 Y2513:AB2515 F2517 X2520:X2522 AB2518 G2521:G2522 J2517:V2522 X2517:AA2519 Y2520:AB2523 P2524:Y2525 Z2524:AB2527 J2524:N2527 O2526:Y2527 J2548:W2548 J2529:S2545 T2529:T2544 U2529:W2545 X2529:X2544 J2549:AB2549 Y2528:AB2548 T2550:V2550 J2550:R2550 X2550:AB2550 J2551:AB2554 U2563:W2637 J2563:S2637 J2638:W2641 T2807:T2817 T2771:W2785 T2789:W2803 T2656:W2659 J2645:W2655 T2663:W2677 T2681:W2695 T2699:W2713 T2717:W2731 T2735:W2749 T2753:W2767 Z2563:AA2842 Y2555:Y2838 Z2555:AB2562 Z2491:AA2496 J2493:Y2493 Y2494:Y2502 U2497:W2500 Q2494:S2495 K2494:O2495 I2496:T2496 U2494:U2496 V2494:W2495 Z2500:AA2500 J2497:S2499 K2500:K2502 L2501:O2502 M2500 O2500 Q2500:Q2502 R2500:S2500 S2501:S2502 U2501:U2502 Z2912:AA2919 Z2925:AA2931 Z2937:AA2951 Z2969:AA2969 Z2971:AA2972 Z2982:AA2989 Z3020:AA3020 Z3022:AA3038 Z3040:AA3040 Z3055:AA3072 AA3075:AB3076 Z3091:AA3101 Z3103:AA3109 Z3111:AA3116 Z3117:AB3124 Z3125:AA3128 Z2457:AA2457 Z2401:AA2424 Z3133:AA3140 Z3143:AA3149 Z3151:AA1048576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G2467:G2502 F2510:F2511 G2505:G2511 F2518:G2518 G2459 G2461 F2947:F2951 F2956:F2974 G2947:G2974 F2978:G2985 G2986 F2987:G2990 F2999 F3004:G3004 G2991:G3003 F3008 F3015 G3005:G3019 F3041:F3047 G3129:G3132 G3151:G1048576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D3026:E3037 E3048:E3054 E3059:E3066 E3074 C2459:C1048576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F2465:G2465 E2460:G2460 E2462:G2462 E2464:G2464 F2463:G2463 E2466:G2466 F2936:F2946 E2935:E2946 G2937:G2946 E2991:F2994 E3021:F3021 F3024:F3037 G3023 D2459:D3025 D3038:D1048576</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E2459 E2461 E2463 E2465 F2924 E2467:E2934 F2952:F2955 E2947:E2990 F3009 F3018:F3019 E2995:E3020 E3022:E3025 E3038:E3047 E3055:E3058 E3067:E3073 E2413:E2424 E2445:E2446 E3075:E1048576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K2317:O2382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J2383:O2422 Y2423:Y2446 X2425:X2446 J2440:W2441 J2437:W2438 J2434:W2435 J2431:W2432 J2428:W2429 J2425:W2426 E2443:E2446 J2443:W2446 X2448:Y2451 U2450:W2451 U2448:W2448 U2449:V2449 J2448:T2451 E2450:E2453 Y2453:Y2455 Y2447:AB2447 Z2425:AA2444 Z2450:AA2451 J2452:Y2452 J2453:X2453 G2383:G2458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Z2501:AB2502 Z2383:AA2390 AB2491:AB2499 Z2497:AA2499 Y2459:Y2461 Z2463:AA2477 E2383:E2400 J2423:X2424 E2425:E2442 AB2383:AB2446 E2447:E2449 Z2445:AA2446 Z2448:AA2449 D2383:D2458 J2457:Y2457 F2383:F2458 E2454:E2458 Z2452:AA2456 J2458:X2458 AB2448:AB2477 Z2458:AA2458</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U2807:W2836 J2656:S2659 J2807:S2836 J2789:S2803 J2771:S2785 J2753:S2767 J2735:S2749 J2717:S2731 J2699:S2713 J2681:S2695 J2663:S2677 Q2837:X2838 N2841:N2877 J2838:O2838 O2837 J2837:M2837 Q2839:Y2842 Y2843:AB2844 Q2843:S2844 O2839:O2877 U2843:W2844 J2839:M2877 J2879:Y2894 J2896:Y2904 J2906:Y2909 J2911:AB2911 P2845:Y2877 Z2845:AB2910 J2912:J2921 K2915:K2921 L2912:L2921 M2912:M2913 M2915:M2921 N2912:N2921 O2915:O2921 Y2916:Y2917 Y2914 Y2912 P2912:X2921 Z2920:AA2924 X2922:X2934 AB2912:AB2924 Y2919:Y2924 J2924:W2931 F2935 Y2932:AB2935 V2934 J2934:U2935 J2936:AB2936 W2934:W2935 J2937:Y2951 J2952:Q2957 K2958:Q2958 R2952:R2955 R2957:W2957 Y2952:AB2958 X2956:X2957 S2952:W2956 S2958:W2958 J2959:AB2967 X2968:AB2968 AB2969 J2969:X2969 X2970:AB2970 J2971:Y2972 AB2971:AB2985 J2973:AA2981 J2984:X2986 J2982:X2982 Y2982:Y2985 AB2987:AB3021 J2987:Y2989 Y2990:AA2990 K2991:AA2994 J2995:AA3019 L3020:L3037 N3020:Y3020 J3020:J3037 K3021:K3037 M3021:O3021 Q3021:AA3021 Y3024:Y3038 Y3022 M3022:X3037 O3039:O3040 Z3039:AB3039 Q3039:W3039 J3039:M3039 J3040:N3040 P3040:Y3040 Y3041:AB3054 J3048:W3054 AB3055:AB3058 J3055:Y3058 K3059:O3062 Q3059:Y3062 Y3063:Y3066 Y3068:Y3102 S3074:X3074 J3074:Q3074 J3063:X3073 Z3073:Z3090 AA3073:AB3074 AA3077:AB3090 G3091:G3116 J3103:Y3109 J3075:X3102 Z3102:AB3102 J3111:Y3116 J3110:AB3110 X3125:X3139 J3117:U3124 J3129:V3139 K3125:V3128 G3133:G3150 Y3117:Y3132 Y3140 W3117:W3139 Z3129:AA3132 J3141:W3141 Y3142:Y3150 Z3141:AA3142 AB3129:AB3142 J3143:W3148 AB3149:AB3150 J3149:X3150 Z3150:AA3150</xm:sqref>
        </x14:dataValidation>
        <x14:dataValidation type="list" allowBlank="1" showInputMessage="1" showErrorMessage="1" xr:uid="{19F948F5-D120-4A52-87AF-FA65EE1B55BA}">
          <x14:formula1>
            <xm:f>'IGNORE Lookups'!$E$29:$E$42</xm:f>
          </x14:formula1>
          <xm:sqref>J2474:Y2490 Z2478:AB2490 J2472:K2472 J2470:K2470 J2468:K2468 K2463:K2467 K2469 K2471 K2473 K2491:O2492 Q2491:S2492 U2491:W2492 Y2491:Y2492</xm:sqref>
        </x14:dataValidation>
        <x14:dataValidation type="list" allowBlank="1" showInputMessage="1" showErrorMessage="1" xr:uid="{F5B93A66-9382-4432-AE08-52DC17F411CF}">
          <x14:formula1>
            <xm:f>'IGNORE Lookups'!$H$29:$H$35</xm:f>
          </x14:formula1>
          <xm:sqref>Y2918 Y2915 Y2913</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H2456:H2458</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3962"/>
  <sheetViews>
    <sheetView tabSelected="1" zoomScale="70" zoomScaleNormal="70" workbookViewId="0">
      <pane ySplit="1" topLeftCell="A3141" activePane="bottomLeft" state="frozen"/>
      <selection pane="bottomLeft" activeCell="A3150" sqref="A3143:XFD3150"/>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6984</v>
      </c>
      <c r="AB2145" s="4" t="s">
        <v>6987</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6988</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6984</v>
      </c>
      <c r="AB2147" s="4" t="s">
        <v>6987</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6665</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6665</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6665</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6665</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6665</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6665</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6665</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6665</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6673</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6673</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6674</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6674</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6674</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burning'!E2177</f>
        <v>ND</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6681</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6684</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6701</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6702</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6701</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6703</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6704</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6704</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6704</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6704</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6712</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6712</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6712</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6708</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6708</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6708</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6712</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6712</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6712</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6804</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burning'!E2309</f>
        <v>All</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burning'!E2310</f>
        <v>Abandoned agricultural land</v>
      </c>
      <c r="F2307" s="156" t="str">
        <f>'Reported burning'!F2310</f>
        <v>ND</v>
      </c>
      <c r="G2307" s="156" t="str">
        <f>'Reported burning'!G2310</f>
        <v>ND</v>
      </c>
      <c r="H2307" s="156" t="str">
        <f>'Reported burning'!H2310</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burning'!E2311</f>
        <v>Mixed cropping-livestock small holder, Market-oriented</v>
      </c>
      <c r="F2308" s="156" t="str">
        <f>'Reported burning'!F2311</f>
        <v>Cropland</v>
      </c>
      <c r="G2308" s="156" t="str">
        <f>'Reported burning'!G2311</f>
        <v>Cropland</v>
      </c>
      <c r="H2308" s="156" t="str">
        <f>'Reported burning'!H2311</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burning'!E2312</f>
        <v>Mixed cropping-livestock small holder, Market-oriented</v>
      </c>
      <c r="F2309" s="156" t="str">
        <f>'Reported burning'!F2312</f>
        <v>Pasture</v>
      </c>
      <c r="G2309" s="156" t="str">
        <f>'Reported burning'!G2312</f>
        <v>Pasture</v>
      </c>
      <c r="H2309" s="156" t="str">
        <f>'Reported burning'!H2312</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6790</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6793</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6793</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6796</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6436</v>
      </c>
      <c r="AB2383" s="4" t="s">
        <v>7868</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6436</v>
      </c>
      <c r="AB2384" s="4" t="s">
        <v>7868</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6436</v>
      </c>
      <c r="AB2385" s="4" t="s">
        <v>7868</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6436</v>
      </c>
      <c r="AB2386" s="4" t="s">
        <v>7868</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6436</v>
      </c>
      <c r="AB2387" s="4" t="s">
        <v>7868</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6436</v>
      </c>
      <c r="AB2388" s="4" t="s">
        <v>7868</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7869</v>
      </c>
      <c r="AB2389" s="4" t="s">
        <v>6439</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7870</v>
      </c>
      <c r="AB2390" s="4" t="s">
        <v>6439</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7871</v>
      </c>
      <c r="AB2391" s="4" t="s">
        <v>6439</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7870</v>
      </c>
      <c r="AB2392" s="4" t="s">
        <v>6439</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7872</v>
      </c>
      <c r="AB2393" s="4" t="s">
        <v>6439</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7870</v>
      </c>
      <c r="AB2394" s="4" t="s">
        <v>6439</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6438</v>
      </c>
      <c r="AB2395" s="4" t="s">
        <v>6439</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6440</v>
      </c>
      <c r="AB2396" s="4" t="s">
        <v>6439</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6441</v>
      </c>
      <c r="AB2397" s="4" t="s">
        <v>6439</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6440</v>
      </c>
      <c r="AB2398" s="4" t="s">
        <v>6439</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6442</v>
      </c>
      <c r="AB2399" s="4" t="s">
        <v>6439</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6440</v>
      </c>
      <c r="AB2400" s="4" t="s">
        <v>6439</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6438</v>
      </c>
      <c r="AB2401" s="4" t="s">
        <v>8381</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6440</v>
      </c>
      <c r="AB2402" s="4" t="s">
        <v>8381</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6438</v>
      </c>
      <c r="AB2403" s="4" t="s">
        <v>8381</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6440</v>
      </c>
      <c r="AB2404" s="4" t="s">
        <v>8381</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6443</v>
      </c>
      <c r="AB2405" s="4" t="s">
        <v>8381</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8382</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6444</v>
      </c>
      <c r="AB2407" s="4" t="s">
        <v>8381</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6445</v>
      </c>
      <c r="AB2408" s="4" t="s">
        <v>8381</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6444</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6445</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6444</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6445</v>
      </c>
      <c r="AB2412" s="4" t="s">
        <v>8381</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6446</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6447</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6444</v>
      </c>
      <c r="AB2415" s="4" t="s">
        <v>8381</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6445</v>
      </c>
      <c r="AB2416" s="4" t="s">
        <v>8381</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6448</v>
      </c>
      <c r="AB2417" s="4" t="s">
        <v>8381</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6449</v>
      </c>
      <c r="AB2418" s="4" t="s">
        <v>8381</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6450</v>
      </c>
      <c r="AB2419" s="4" t="s">
        <v>8381</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6450</v>
      </c>
      <c r="AB2420" s="4" t="s">
        <v>8381</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6450</v>
      </c>
      <c r="AB2421" s="4" t="s">
        <v>8381</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6450</v>
      </c>
      <c r="AB2422" s="4" t="s">
        <v>8381</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6450</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6450</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6451</v>
      </c>
      <c r="AB2425" s="4" t="s">
        <v>8396</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6451</v>
      </c>
      <c r="AB2426" s="4" t="s">
        <v>8396</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6451</v>
      </c>
      <c r="AB2427" s="4" t="s">
        <v>8396</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6451</v>
      </c>
      <c r="AB2428" s="4" t="s">
        <v>8396</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6451</v>
      </c>
      <c r="AB2429" s="4" t="s">
        <v>8396</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6451</v>
      </c>
      <c r="AB2430" s="4" t="s">
        <v>8396</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6451</v>
      </c>
      <c r="AB2431" s="4" t="s">
        <v>8396</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6451</v>
      </c>
      <c r="AB2432" s="4" t="s">
        <v>8396</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6451</v>
      </c>
      <c r="AB2433" s="4" t="s">
        <v>8396</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6451</v>
      </c>
      <c r="AB2434" s="4" t="s">
        <v>8396</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6451</v>
      </c>
      <c r="AB2435" s="4" t="s">
        <v>8396</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6451</v>
      </c>
      <c r="AB2436" s="4" t="s">
        <v>8396</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6451</v>
      </c>
      <c r="AB2437" s="4" t="s">
        <v>8396</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6451</v>
      </c>
      <c r="AB2438" s="4" t="s">
        <v>8396</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6451</v>
      </c>
      <c r="AB2439" s="4" t="s">
        <v>8396</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6451</v>
      </c>
      <c r="AB2440" s="4" t="s">
        <v>8396</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6451</v>
      </c>
      <c r="AB2441" s="4" t="s">
        <v>8396</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6451</v>
      </c>
      <c r="AB2442" s="4" t="s">
        <v>8396</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6452</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6453</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6454</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6454</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8408</v>
      </c>
      <c r="AB2450" s="4" t="s">
        <v>8407</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6457</v>
      </c>
      <c r="AB2451" s="4" t="s">
        <v>8409</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6456</v>
      </c>
      <c r="AB2452" s="4" t="s">
        <v>8410</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6457</v>
      </c>
      <c r="AB2453" s="4" t="s">
        <v>8410</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6456</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6457</v>
      </c>
      <c r="AB2455" s="4"/>
    </row>
    <row r="2456" spans="1:28" ht="44.5" customHeight="1">
      <c r="A2456" s="232" t="str">
        <f>'Reported burning'!A2456</f>
        <v>281a</v>
      </c>
      <c r="B2456" s="232" t="str">
        <f>'Reported burning'!B2456</f>
        <v>281a.1</v>
      </c>
      <c r="C2456" s="232">
        <f>'Reported burning'!C2456</f>
        <v>0</v>
      </c>
      <c r="D2456" s="232">
        <f>'Reported burning'!D2456</f>
        <v>0</v>
      </c>
      <c r="E2456" s="232">
        <f>'Reported burning'!E2456</f>
        <v>0</v>
      </c>
      <c r="F2456" s="232">
        <f>'Reported burning'!F2456</f>
        <v>0</v>
      </c>
      <c r="G2456" s="232">
        <f>'Reported burning'!G2456</f>
        <v>0</v>
      </c>
      <c r="H2456" s="232">
        <f>'Reported burning'!H2456</f>
        <v>0</v>
      </c>
      <c r="I2456" s="78"/>
      <c r="J2456" s="58"/>
      <c r="K2456" s="58"/>
      <c r="L2456" s="58"/>
      <c r="M2456" s="58"/>
      <c r="N2456" s="58"/>
      <c r="O2456" s="58"/>
      <c r="P2456" s="58"/>
      <c r="Q2456" s="58"/>
      <c r="R2456" s="58"/>
      <c r="S2456" s="58"/>
      <c r="T2456" s="227"/>
      <c r="U2456" s="227"/>
      <c r="V2456" s="227"/>
      <c r="W2456" s="58"/>
      <c r="X2456" s="58"/>
      <c r="Y2456" s="58"/>
      <c r="Z2456" s="58"/>
      <c r="AA2456" s="58"/>
      <c r="AB2456" s="58"/>
    </row>
    <row r="2457" spans="1:28" ht="36" customHeight="1">
      <c r="A2457" s="156" t="str">
        <f>'Reported burning'!A2457</f>
        <v>282a</v>
      </c>
      <c r="B2457" s="156" t="str">
        <f>'Reported burning'!B2457</f>
        <v>282a.1</v>
      </c>
      <c r="C2457" s="156" t="str">
        <f>'Reported burning'!C2457</f>
        <v>Human, deliberate</v>
      </c>
      <c r="D2457" s="156" t="str">
        <f>'Reported burning'!D2457</f>
        <v>Crop residue burning</v>
      </c>
      <c r="E2457" s="156" t="str">
        <f>'Reported burning'!E2457</f>
        <v>Cropping, Monoculture, Subsistence-oriented</v>
      </c>
      <c r="F2457" s="156" t="str">
        <f>'Reported burning'!F2457</f>
        <v>Cropland</v>
      </c>
      <c r="G2457" s="156" t="str">
        <f>'Reported burning'!G2457</f>
        <v>ND</v>
      </c>
      <c r="H2457" s="156" t="str">
        <f>'Reported burning'!H2457</f>
        <v>Presence</v>
      </c>
      <c r="I2457" s="5"/>
      <c r="J2457" s="21" t="s">
        <v>2276</v>
      </c>
      <c r="K2457" s="21" t="s">
        <v>2276</v>
      </c>
      <c r="L2457" s="21" t="s">
        <v>2276</v>
      </c>
      <c r="M2457" s="21" t="s">
        <v>2276</v>
      </c>
      <c r="N2457" s="21" t="s">
        <v>2276</v>
      </c>
      <c r="O2457" s="21" t="s">
        <v>2276</v>
      </c>
      <c r="P2457" s="21" t="s">
        <v>2276</v>
      </c>
      <c r="Q2457" s="21" t="s">
        <v>2276</v>
      </c>
      <c r="R2457" s="21" t="s">
        <v>2276</v>
      </c>
      <c r="S2457" s="4" t="s">
        <v>2376</v>
      </c>
      <c r="T2457" s="21" t="s">
        <v>2276</v>
      </c>
      <c r="U2457" s="21" t="s">
        <v>2276</v>
      </c>
      <c r="V2457" s="21" t="s">
        <v>2276</v>
      </c>
      <c r="W2457" s="4" t="s">
        <v>2375</v>
      </c>
      <c r="X2457" s="4"/>
      <c r="Y2457" s="4"/>
      <c r="Z2457" s="204" t="s">
        <v>64</v>
      </c>
      <c r="AA2457" s="4" t="s">
        <v>6458</v>
      </c>
      <c r="AB2457" s="4"/>
    </row>
    <row r="2458" spans="1:28" ht="43.5">
      <c r="A2458" s="156" t="str">
        <f>'Reported burning'!A2458</f>
        <v>283a</v>
      </c>
      <c r="B2458" s="156" t="str">
        <f>'Reported burning'!B2458</f>
        <v>283a.1</v>
      </c>
      <c r="C2458" s="156" t="str">
        <f>'Reported burning'!C2458</f>
        <v>Human, deliberate</v>
      </c>
      <c r="D2458" s="156" t="str">
        <f>'Reported burning'!D2458</f>
        <v>Crop residue burning</v>
      </c>
      <c r="E2458" s="156" t="str">
        <f>'Reported burning'!E2458</f>
        <v>Cropping, Monoculture, Market-oriented</v>
      </c>
      <c r="F2458" s="156" t="str">
        <f>'Reported burning'!F2458</f>
        <v>Cropland</v>
      </c>
      <c r="G2458" s="156" t="str">
        <f>'Reported burning'!G2458</f>
        <v>ND</v>
      </c>
      <c r="H2458" s="156" t="str">
        <f>'Reported burning'!H2458</f>
        <v>Presence</v>
      </c>
      <c r="I2458" s="5"/>
      <c r="J2458" s="21" t="s">
        <v>2276</v>
      </c>
      <c r="K2458" s="21" t="s">
        <v>2276</v>
      </c>
      <c r="L2458" s="21" t="s">
        <v>2276</v>
      </c>
      <c r="M2458" s="21" t="s">
        <v>2276</v>
      </c>
      <c r="N2458" s="21" t="s">
        <v>2276</v>
      </c>
      <c r="O2458" s="21" t="s">
        <v>2276</v>
      </c>
      <c r="P2458" s="21" t="s">
        <v>2276</v>
      </c>
      <c r="Q2458" s="21" t="s">
        <v>2276</v>
      </c>
      <c r="R2458" s="21" t="s">
        <v>2276</v>
      </c>
      <c r="S2458" s="21" t="s">
        <v>2276</v>
      </c>
      <c r="T2458" s="21" t="s">
        <v>2276</v>
      </c>
      <c r="U2458" s="21" t="s">
        <v>2276</v>
      </c>
      <c r="V2458" s="166" t="s">
        <v>2527</v>
      </c>
      <c r="W2458" s="21" t="s">
        <v>2276</v>
      </c>
      <c r="X2458" s="4" t="s">
        <v>399</v>
      </c>
      <c r="Y2458" s="4" t="s">
        <v>34</v>
      </c>
      <c r="Z2458" s="4" t="s">
        <v>2276</v>
      </c>
      <c r="AA2458" s="4" t="s">
        <v>6459</v>
      </c>
      <c r="AB2458" s="4" t="s">
        <v>8413</v>
      </c>
    </row>
    <row r="2459" spans="1:28" ht="37.5" customHeight="1">
      <c r="A2459" s="156" t="str">
        <f>'Reported burning'!A2459</f>
        <v>284a</v>
      </c>
      <c r="B2459" s="156" t="str">
        <f>'Reported burning'!B2459</f>
        <v>284a.1</v>
      </c>
      <c r="C2459" s="156" t="str">
        <f>'Reported burning'!C2459</f>
        <v>Human, deliberate</v>
      </c>
      <c r="D2459" s="156" t="str">
        <f>'Reported burning'!D2459</f>
        <v>Pyrome management</v>
      </c>
      <c r="E2459" s="156" t="str">
        <f>'Reported burning'!E2459</f>
        <v>Biodiversity conservation</v>
      </c>
      <c r="F2459" s="156" t="str">
        <f>'Reported burning'!F2459</f>
        <v>Forest</v>
      </c>
      <c r="G2459" s="156" t="str">
        <f>'Reported burning'!G2459</f>
        <v>Forest</v>
      </c>
      <c r="H2459" s="156" t="str">
        <f>'Reported burning'!H2459</f>
        <v>Presence</v>
      </c>
      <c r="I2459" s="5"/>
      <c r="J2459" s="21" t="s">
        <v>2276</v>
      </c>
      <c r="K2459" s="21" t="s">
        <v>2276</v>
      </c>
      <c r="L2459" s="21" t="s">
        <v>2276</v>
      </c>
      <c r="M2459" s="21" t="s">
        <v>2276</v>
      </c>
      <c r="N2459" s="21" t="s">
        <v>2276</v>
      </c>
      <c r="O2459" s="21" t="s">
        <v>2276</v>
      </c>
      <c r="P2459" s="21" t="s">
        <v>2276</v>
      </c>
      <c r="Q2459" s="21" t="s">
        <v>2276</v>
      </c>
      <c r="R2459" s="21" t="s">
        <v>2276</v>
      </c>
      <c r="S2459" s="21" t="s">
        <v>2276</v>
      </c>
      <c r="T2459" s="21" t="s">
        <v>2276</v>
      </c>
      <c r="U2459" s="21" t="s">
        <v>2276</v>
      </c>
      <c r="V2459" s="21" t="s">
        <v>2276</v>
      </c>
      <c r="W2459" s="4" t="s">
        <v>2276</v>
      </c>
      <c r="X2459" s="4" t="s">
        <v>2276</v>
      </c>
      <c r="Y2459" s="4" t="s">
        <v>2276</v>
      </c>
      <c r="Z2459" s="4" t="s">
        <v>2276</v>
      </c>
      <c r="AA2459" s="4"/>
      <c r="AB2459" s="4" t="s">
        <v>6536</v>
      </c>
    </row>
    <row r="2460" spans="1:28" ht="55" customHeight="1">
      <c r="A2460" s="156" t="str">
        <f>'Reported burning'!A2460</f>
        <v>284a</v>
      </c>
      <c r="B2460" s="156" t="str">
        <f>'Reported burning'!B2460</f>
        <v>284a.2</v>
      </c>
      <c r="C2460" s="156" t="str">
        <f>'Reported burning'!C2460</f>
        <v>Other Natural</v>
      </c>
      <c r="D2460" s="156" t="str">
        <f>'Reported burning'!D2460</f>
        <v>ND</v>
      </c>
      <c r="E2460" s="156" t="str">
        <f>'Reported burning'!E2460</f>
        <v>ND</v>
      </c>
      <c r="F2460" s="156" t="str">
        <f>'Reported burning'!F2460</f>
        <v>ND</v>
      </c>
      <c r="G2460" s="156" t="str">
        <f>'Reported burning'!G2460</f>
        <v>ND</v>
      </c>
      <c r="H2460" s="156" t="str">
        <f>'Reported burning'!H2460</f>
        <v>Presence</v>
      </c>
      <c r="I2460" s="5"/>
      <c r="J2460" s="21" t="s">
        <v>2276</v>
      </c>
      <c r="K2460" s="21" t="s">
        <v>2276</v>
      </c>
      <c r="L2460" s="21" t="s">
        <v>2276</v>
      </c>
      <c r="M2460" s="21" t="s">
        <v>2276</v>
      </c>
      <c r="N2460" s="21" t="s">
        <v>2276</v>
      </c>
      <c r="O2460" s="21" t="s">
        <v>2276</v>
      </c>
      <c r="P2460" s="21" t="s">
        <v>2276</v>
      </c>
      <c r="Q2460" s="21" t="s">
        <v>2276</v>
      </c>
      <c r="R2460" s="21" t="s">
        <v>2276</v>
      </c>
      <c r="S2460" s="21" t="s">
        <v>2276</v>
      </c>
      <c r="T2460" s="21" t="s">
        <v>2276</v>
      </c>
      <c r="U2460" s="21" t="s">
        <v>2276</v>
      </c>
      <c r="V2460" s="21" t="s">
        <v>2276</v>
      </c>
      <c r="W2460" s="4" t="s">
        <v>2276</v>
      </c>
      <c r="X2460" s="4" t="s">
        <v>2276</v>
      </c>
      <c r="Y2460" s="4" t="s">
        <v>2276</v>
      </c>
      <c r="Z2460" s="4" t="s">
        <v>2276</v>
      </c>
      <c r="AA2460" s="4"/>
      <c r="AB2460" s="4" t="s">
        <v>6537</v>
      </c>
    </row>
    <row r="2461" spans="1:28" ht="47.5" customHeight="1">
      <c r="A2461" s="156" t="str">
        <f>'Reported burning'!A2461</f>
        <v>284b</v>
      </c>
      <c r="B2461" s="156" t="str">
        <f>'Reported burning'!B2461</f>
        <v>284b.1</v>
      </c>
      <c r="C2461" s="156" t="str">
        <f>'Reported burning'!C2461</f>
        <v>Human, deliberate</v>
      </c>
      <c r="D2461" s="156" t="str">
        <f>'Reported burning'!D2461</f>
        <v>Pyrome management</v>
      </c>
      <c r="E2461" s="156" t="str">
        <f>'Reported burning'!E2461</f>
        <v>Biodiversity conservation</v>
      </c>
      <c r="F2461" s="156" t="str">
        <f>'Reported burning'!F2461</f>
        <v>Forest</v>
      </c>
      <c r="G2461" s="156" t="str">
        <f>'Reported burning'!G2461</f>
        <v>Forest</v>
      </c>
      <c r="H2461" s="156" t="str">
        <f>'Reported burning'!H2461</f>
        <v>Presence</v>
      </c>
      <c r="I2461" s="5"/>
      <c r="J2461" s="21" t="s">
        <v>2276</v>
      </c>
      <c r="K2461" s="21" t="s">
        <v>2276</v>
      </c>
      <c r="L2461" s="21" t="s">
        <v>2276</v>
      </c>
      <c r="M2461" s="21" t="s">
        <v>2276</v>
      </c>
      <c r="N2461" s="21" t="s">
        <v>2276</v>
      </c>
      <c r="O2461" s="21" t="s">
        <v>2276</v>
      </c>
      <c r="P2461" s="21" t="s">
        <v>2276</v>
      </c>
      <c r="Q2461" s="21" t="s">
        <v>2276</v>
      </c>
      <c r="R2461" s="21" t="s">
        <v>2276</v>
      </c>
      <c r="S2461" s="21" t="s">
        <v>2276</v>
      </c>
      <c r="T2461" s="21" t="s">
        <v>2276</v>
      </c>
      <c r="U2461" s="21" t="s">
        <v>2276</v>
      </c>
      <c r="V2461" s="21" t="s">
        <v>2276</v>
      </c>
      <c r="W2461" s="21" t="s">
        <v>2402</v>
      </c>
      <c r="X2461" s="204" t="str">
        <f>'Reported burning'!Z2461</f>
        <v>December</v>
      </c>
      <c r="Y2461" s="204" t="str">
        <f>'Reported burning'!AA2461</f>
        <v>April</v>
      </c>
      <c r="Z2461" s="204" t="str">
        <f>'Reported burning'!AB2461</f>
        <v>ND</v>
      </c>
      <c r="AA2461" s="4"/>
      <c r="AB2461" s="4" t="s">
        <v>7862</v>
      </c>
    </row>
    <row r="2462" spans="1:28" ht="47.5" customHeight="1">
      <c r="A2462" s="156" t="str">
        <f>'Reported burning'!A2462</f>
        <v>284b</v>
      </c>
      <c r="B2462" s="156" t="str">
        <f>'Reported burning'!B2462</f>
        <v>284b.2</v>
      </c>
      <c r="C2462" s="156" t="str">
        <f>'Reported burning'!C2462</f>
        <v>Other Natural</v>
      </c>
      <c r="D2462" s="156" t="str">
        <f>'Reported burning'!D2462</f>
        <v>ND</v>
      </c>
      <c r="E2462" s="156" t="str">
        <f>'Reported burning'!E2462</f>
        <v>ND</v>
      </c>
      <c r="F2462" s="156" t="str">
        <f>'Reported burning'!F2462</f>
        <v>ND</v>
      </c>
      <c r="G2462" s="156" t="str">
        <f>'Reported burning'!G2462</f>
        <v>ND</v>
      </c>
      <c r="H2462" s="156" t="str">
        <f>'Reported burning'!H2462</f>
        <v>Presence</v>
      </c>
      <c r="I2462" s="5"/>
      <c r="J2462" s="21" t="s">
        <v>2276</v>
      </c>
      <c r="K2462" s="21" t="s">
        <v>2276</v>
      </c>
      <c r="L2462" s="21" t="s">
        <v>2276</v>
      </c>
      <c r="M2462" s="21" t="s">
        <v>2276</v>
      </c>
      <c r="N2462" s="21" t="s">
        <v>2276</v>
      </c>
      <c r="O2462" s="21" t="s">
        <v>2276</v>
      </c>
      <c r="P2462" s="21" t="s">
        <v>2276</v>
      </c>
      <c r="Q2462" s="21" t="s">
        <v>2276</v>
      </c>
      <c r="R2462" s="21" t="s">
        <v>2276</v>
      </c>
      <c r="S2462" s="21" t="s">
        <v>2276</v>
      </c>
      <c r="T2462" s="21" t="s">
        <v>2276</v>
      </c>
      <c r="U2462" s="21" t="s">
        <v>2276</v>
      </c>
      <c r="V2462" s="21" t="s">
        <v>2276</v>
      </c>
      <c r="W2462" s="21" t="s">
        <v>2276</v>
      </c>
      <c r="X2462" s="204" t="str">
        <f>'Reported burning'!Z2462</f>
        <v>December</v>
      </c>
      <c r="Y2462" s="204" t="str">
        <f>'Reported burning'!AA2462</f>
        <v>April</v>
      </c>
      <c r="Z2462" s="204" t="str">
        <f>'Reported burning'!AB2462</f>
        <v>ND</v>
      </c>
      <c r="AA2462" s="4"/>
      <c r="AB2462" s="4" t="s">
        <v>6538</v>
      </c>
    </row>
    <row r="2463" spans="1:28" ht="47.5" customHeight="1">
      <c r="A2463" s="156" t="str">
        <f>'Reported burning'!A2463</f>
        <v>285a</v>
      </c>
      <c r="B2463" s="156" t="str">
        <f>'Reported burning'!B2463</f>
        <v>285a.1</v>
      </c>
      <c r="C2463" s="156" t="str">
        <f>'Reported burning'!C2463</f>
        <v>Human, deliberate</v>
      </c>
      <c r="D2463" s="156" t="str">
        <f>'Reported burning'!D2463</f>
        <v>ND</v>
      </c>
      <c r="E2463" s="156" t="str">
        <f>'Reported burning'!E2463</f>
        <v>Urban planner</v>
      </c>
      <c r="F2463" s="156" t="str">
        <f>'Reported burning'!F2463</f>
        <v>ND</v>
      </c>
      <c r="G2463" s="156" t="str">
        <f>'Reported burning'!G2463</f>
        <v>ND</v>
      </c>
      <c r="H2463" s="156" t="str">
        <f>'Reported burning'!H2463</f>
        <v>Presence</v>
      </c>
      <c r="I2463" s="5"/>
      <c r="J2463" s="21" t="s">
        <v>2276</v>
      </c>
      <c r="K2463" s="21" t="s">
        <v>2276</v>
      </c>
      <c r="L2463" s="21" t="s">
        <v>2276</v>
      </c>
      <c r="M2463" s="21" t="s">
        <v>2276</v>
      </c>
      <c r="N2463" s="21" t="s">
        <v>2276</v>
      </c>
      <c r="O2463" s="21" t="s">
        <v>2276</v>
      </c>
      <c r="P2463" s="21" t="s">
        <v>2276</v>
      </c>
      <c r="Q2463" s="21" t="s">
        <v>2276</v>
      </c>
      <c r="R2463" s="21" t="s">
        <v>2276</v>
      </c>
      <c r="S2463" s="21" t="s">
        <v>2276</v>
      </c>
      <c r="T2463" s="21" t="s">
        <v>2276</v>
      </c>
      <c r="U2463" s="21" t="s">
        <v>2276</v>
      </c>
      <c r="V2463" s="21" t="s">
        <v>2276</v>
      </c>
      <c r="W2463" s="21" t="s">
        <v>2276</v>
      </c>
      <c r="X2463" s="204" t="str">
        <f>'Reported burning'!Z2463</f>
        <v>ND</v>
      </c>
      <c r="Y2463" s="204" t="str">
        <f>'Reported burning'!AA2463</f>
        <v>ND</v>
      </c>
      <c r="Z2463" s="204" t="str">
        <f>'Reported burning'!AB2463</f>
        <v>ND</v>
      </c>
      <c r="AA2463" s="204"/>
      <c r="AB2463" s="204"/>
    </row>
    <row r="2464" spans="1:28" ht="47.5" customHeight="1">
      <c r="A2464" s="156" t="str">
        <f>'Reported burning'!A2464</f>
        <v>285a</v>
      </c>
      <c r="B2464" s="156" t="str">
        <f>'Reported burning'!B2464</f>
        <v>285a.2</v>
      </c>
      <c r="C2464" s="156" t="str">
        <f>'Reported burning'!C2464</f>
        <v>Lightning</v>
      </c>
      <c r="D2464" s="156" t="str">
        <f>'Reported burning'!D2464</f>
        <v>ND</v>
      </c>
      <c r="E2464" s="156" t="str">
        <f>'Reported burning'!E2464</f>
        <v>ND</v>
      </c>
      <c r="F2464" s="156" t="str">
        <f>'Reported burning'!F2464</f>
        <v>ND</v>
      </c>
      <c r="G2464" s="156" t="str">
        <f>'Reported burning'!G2464</f>
        <v>ND</v>
      </c>
      <c r="H2464" s="156" t="str">
        <f>'Reported burning'!H2464</f>
        <v>Presence</v>
      </c>
      <c r="I2464" s="5"/>
      <c r="J2464" s="21" t="s">
        <v>2276</v>
      </c>
      <c r="K2464" s="21" t="s">
        <v>2276</v>
      </c>
      <c r="L2464" s="21" t="s">
        <v>2276</v>
      </c>
      <c r="M2464" s="21" t="s">
        <v>2276</v>
      </c>
      <c r="N2464" s="21" t="s">
        <v>2276</v>
      </c>
      <c r="O2464" s="21" t="s">
        <v>2276</v>
      </c>
      <c r="P2464" s="21" t="s">
        <v>2276</v>
      </c>
      <c r="Q2464" s="21" t="s">
        <v>2276</v>
      </c>
      <c r="R2464" s="21" t="s">
        <v>2276</v>
      </c>
      <c r="S2464" s="21" t="s">
        <v>2276</v>
      </c>
      <c r="T2464" s="21" t="s">
        <v>2276</v>
      </c>
      <c r="U2464" s="21" t="s">
        <v>2276</v>
      </c>
      <c r="V2464" s="21" t="s">
        <v>2276</v>
      </c>
      <c r="W2464" s="21" t="s">
        <v>2276</v>
      </c>
      <c r="X2464" s="204" t="str">
        <f>'Reported burning'!Z2464</f>
        <v>ND</v>
      </c>
      <c r="Y2464" s="204" t="str">
        <f>'Reported burning'!AA2464</f>
        <v>ND</v>
      </c>
      <c r="Z2464" s="204" t="str">
        <f>'Reported burning'!AB2464</f>
        <v>ND</v>
      </c>
      <c r="AA2464" s="204"/>
      <c r="AB2464" s="204"/>
    </row>
    <row r="2465" spans="1:28" ht="47.5" customHeight="1">
      <c r="A2465" s="156" t="str">
        <f>'Reported burning'!A2465</f>
        <v>285b</v>
      </c>
      <c r="B2465" s="156" t="str">
        <f>'Reported burning'!B2465</f>
        <v>285b.1</v>
      </c>
      <c r="C2465" s="156" t="str">
        <f>'Reported burning'!C2465</f>
        <v>Human, deliberate</v>
      </c>
      <c r="D2465" s="156" t="str">
        <f>'Reported burning'!D2465</f>
        <v>ND</v>
      </c>
      <c r="E2465" s="156" t="str">
        <f>'Reported burning'!E2465</f>
        <v>Urban planner</v>
      </c>
      <c r="F2465" s="156" t="str">
        <f>'Reported burning'!F2465</f>
        <v>ND</v>
      </c>
      <c r="G2465" s="156" t="str">
        <f>'Reported burning'!G2465</f>
        <v>ND</v>
      </c>
      <c r="H2465" s="156" t="str">
        <f>'Reported burning'!H2465</f>
        <v>Presence</v>
      </c>
      <c r="I2465" s="5"/>
      <c r="J2465" s="21" t="s">
        <v>2276</v>
      </c>
      <c r="K2465" s="21" t="s">
        <v>2276</v>
      </c>
      <c r="L2465" s="21" t="s">
        <v>2276</v>
      </c>
      <c r="M2465" s="21" t="s">
        <v>2276</v>
      </c>
      <c r="N2465" s="21" t="s">
        <v>2276</v>
      </c>
      <c r="O2465" s="21" t="s">
        <v>2276</v>
      </c>
      <c r="P2465" s="21" t="s">
        <v>2276</v>
      </c>
      <c r="Q2465" s="21" t="s">
        <v>2276</v>
      </c>
      <c r="R2465" s="21" t="s">
        <v>2276</v>
      </c>
      <c r="S2465" s="21" t="s">
        <v>2276</v>
      </c>
      <c r="T2465" s="21" t="s">
        <v>2276</v>
      </c>
      <c r="U2465" s="21" t="s">
        <v>2276</v>
      </c>
      <c r="V2465" s="21" t="s">
        <v>2276</v>
      </c>
      <c r="W2465" s="21" t="s">
        <v>2276</v>
      </c>
      <c r="X2465" s="204" t="str">
        <f>'Reported burning'!Z2465</f>
        <v>ND</v>
      </c>
      <c r="Y2465" s="204" t="str">
        <f>'Reported burning'!AA2465</f>
        <v>ND</v>
      </c>
      <c r="Z2465" s="204" t="str">
        <f>'Reported burning'!AB2465</f>
        <v>ND</v>
      </c>
      <c r="AA2465" s="204"/>
      <c r="AB2465" s="204"/>
    </row>
    <row r="2466" spans="1:28" ht="47.5" customHeight="1">
      <c r="A2466" s="156" t="str">
        <f>'Reported burning'!A2466</f>
        <v>285b</v>
      </c>
      <c r="B2466" s="156" t="str">
        <f>'Reported burning'!B2466</f>
        <v>285b.2</v>
      </c>
      <c r="C2466" s="156" t="str">
        <f>'Reported burning'!C2466</f>
        <v>Lightning</v>
      </c>
      <c r="D2466" s="156" t="str">
        <f>'Reported burning'!D2466</f>
        <v>ND</v>
      </c>
      <c r="E2466" s="156" t="str">
        <f>'Reported burning'!E2466</f>
        <v>ND</v>
      </c>
      <c r="F2466" s="156" t="str">
        <f>'Reported burning'!F2466</f>
        <v>ND</v>
      </c>
      <c r="G2466" s="156" t="str">
        <f>'Reported burning'!G2466</f>
        <v>ND</v>
      </c>
      <c r="H2466" s="156" t="str">
        <f>'Reported burning'!H2466</f>
        <v>Presence</v>
      </c>
      <c r="I2466" s="5"/>
      <c r="J2466" s="21" t="s">
        <v>2276</v>
      </c>
      <c r="K2466" s="21" t="s">
        <v>2276</v>
      </c>
      <c r="L2466" s="21" t="s">
        <v>2276</v>
      </c>
      <c r="M2466" s="21" t="s">
        <v>2276</v>
      </c>
      <c r="N2466" s="21" t="s">
        <v>2276</v>
      </c>
      <c r="O2466" s="21" t="s">
        <v>2276</v>
      </c>
      <c r="P2466" s="21" t="s">
        <v>2276</v>
      </c>
      <c r="Q2466" s="21" t="s">
        <v>2276</v>
      </c>
      <c r="R2466" s="21" t="s">
        <v>2276</v>
      </c>
      <c r="S2466" s="21" t="s">
        <v>2276</v>
      </c>
      <c r="T2466" s="21" t="s">
        <v>2276</v>
      </c>
      <c r="U2466" s="21" t="s">
        <v>2276</v>
      </c>
      <c r="V2466" s="21" t="s">
        <v>2374</v>
      </c>
      <c r="W2466" s="21" t="s">
        <v>2276</v>
      </c>
      <c r="X2466" s="204" t="str">
        <f>'Reported burning'!Z2466</f>
        <v>ND</v>
      </c>
      <c r="Y2466" s="204" t="str">
        <f>'Reported burning'!AA2466</f>
        <v>ND</v>
      </c>
      <c r="Z2466" s="204" t="str">
        <f>'Reported burning'!AB2466</f>
        <v>ND</v>
      </c>
      <c r="AA2466" s="204"/>
      <c r="AB2466" s="204"/>
    </row>
    <row r="2467" spans="1:28" ht="47.5" customHeight="1">
      <c r="A2467" s="156" t="str">
        <f>'Reported burning'!A2467</f>
        <v>287a</v>
      </c>
      <c r="B2467" s="156" t="str">
        <f>'Reported burning'!B2467</f>
        <v>287a.1</v>
      </c>
      <c r="C2467" s="156" t="str">
        <f>'Reported burning'!C2467</f>
        <v>Unknown</v>
      </c>
      <c r="D2467" s="156" t="str">
        <f>'Reported burning'!D2467</f>
        <v>ND</v>
      </c>
      <c r="E2467" s="156" t="str">
        <f>'Reported burning'!E2467</f>
        <v>Forestry, Industrial</v>
      </c>
      <c r="F2467" s="156" t="str">
        <f>'Reported burning'!F2467</f>
        <v>Forest</v>
      </c>
      <c r="G2467" s="156" t="str">
        <f>'Reported burning'!G2467</f>
        <v>Forest</v>
      </c>
      <c r="H2467" s="156" t="str">
        <f>'Reported burning'!H2467</f>
        <v>Presence</v>
      </c>
      <c r="I2467" s="5"/>
      <c r="J2467" s="21" t="s">
        <v>2276</v>
      </c>
      <c r="K2467" s="21" t="s">
        <v>2276</v>
      </c>
      <c r="L2467" s="21" t="s">
        <v>2276</v>
      </c>
      <c r="M2467" s="21" t="s">
        <v>2276</v>
      </c>
      <c r="N2467" s="21" t="s">
        <v>2276</v>
      </c>
      <c r="O2467" s="21" t="s">
        <v>2276</v>
      </c>
      <c r="P2467" s="21" t="s">
        <v>2276</v>
      </c>
      <c r="Q2467" s="21" t="s">
        <v>2276</v>
      </c>
      <c r="R2467" s="21" t="s">
        <v>2276</v>
      </c>
      <c r="S2467" s="21" t="s">
        <v>2276</v>
      </c>
      <c r="T2467" s="21" t="s">
        <v>2276</v>
      </c>
      <c r="U2467" s="21" t="s">
        <v>2276</v>
      </c>
      <c r="V2467" s="21" t="s">
        <v>2276</v>
      </c>
      <c r="W2467" s="21" t="s">
        <v>2276</v>
      </c>
      <c r="X2467" s="204" t="str">
        <f>'Reported burning'!Z2467</f>
        <v>ND</v>
      </c>
      <c r="Y2467" s="204" t="str">
        <f>'Reported burning'!AA2467</f>
        <v>ND</v>
      </c>
      <c r="Z2467" s="204" t="str">
        <f>'Reported burning'!AB2467</f>
        <v>ND</v>
      </c>
      <c r="AA2467" s="204"/>
      <c r="AB2467" s="204"/>
    </row>
    <row r="2468" spans="1:28" ht="47.5" customHeight="1">
      <c r="A2468" s="156" t="str">
        <f>'Reported burning'!A2468</f>
        <v>287a</v>
      </c>
      <c r="B2468" s="156" t="str">
        <f>'Reported burning'!B2468</f>
        <v>287a.2</v>
      </c>
      <c r="C2468" s="156" t="str">
        <f>'Reported burning'!C2468</f>
        <v>Human, deliberate</v>
      </c>
      <c r="D2468" s="156" t="str">
        <f>'Reported burning'!D2468</f>
        <v>Pyrome management</v>
      </c>
      <c r="E2468" s="156" t="str">
        <f>'Reported burning'!E2468</f>
        <v>Forestry, Industrial</v>
      </c>
      <c r="F2468" s="156" t="str">
        <f>'Reported burning'!F2468</f>
        <v>Forest</v>
      </c>
      <c r="G2468" s="156" t="str">
        <f>'Reported burning'!G2468</f>
        <v>Forest</v>
      </c>
      <c r="H2468" s="156" t="str">
        <f>'Reported burning'!H2468</f>
        <v>Presence</v>
      </c>
      <c r="I2468" s="5"/>
      <c r="J2468" s="21" t="s">
        <v>2276</v>
      </c>
      <c r="K2468" s="21" t="s">
        <v>2276</v>
      </c>
      <c r="L2468" s="21" t="s">
        <v>2276</v>
      </c>
      <c r="M2468" s="21" t="s">
        <v>2276</v>
      </c>
      <c r="N2468" s="21" t="s">
        <v>2276</v>
      </c>
      <c r="O2468" s="21" t="s">
        <v>2276</v>
      </c>
      <c r="P2468" s="21" t="s">
        <v>2276</v>
      </c>
      <c r="Q2468" s="21" t="s">
        <v>2276</v>
      </c>
      <c r="R2468" s="21" t="s">
        <v>2276</v>
      </c>
      <c r="S2468" s="21" t="s">
        <v>2276</v>
      </c>
      <c r="T2468" s="21" t="s">
        <v>2276</v>
      </c>
      <c r="U2468" s="21" t="s">
        <v>2276</v>
      </c>
      <c r="V2468" s="21" t="s">
        <v>2276</v>
      </c>
      <c r="W2468" s="21" t="s">
        <v>2276</v>
      </c>
      <c r="X2468" s="204" t="str">
        <f>'Reported burning'!Z2468</f>
        <v>ND</v>
      </c>
      <c r="Y2468" s="204" t="str">
        <f>'Reported burning'!AA2468</f>
        <v>ND</v>
      </c>
      <c r="Z2468" s="204" t="str">
        <f>'Reported burning'!AB2468</f>
        <v>ND</v>
      </c>
      <c r="AA2468" s="204"/>
      <c r="AB2468" s="204"/>
    </row>
    <row r="2469" spans="1:28" ht="47.5" customHeight="1">
      <c r="A2469" s="156" t="str">
        <f>'Reported burning'!A2469</f>
        <v>287b</v>
      </c>
      <c r="B2469" s="156" t="str">
        <f>'Reported burning'!B2469</f>
        <v>287b.1</v>
      </c>
      <c r="C2469" s="156" t="str">
        <f>'Reported burning'!C2469</f>
        <v>Unknown</v>
      </c>
      <c r="D2469" s="156" t="str">
        <f>'Reported burning'!D2469</f>
        <v>ND</v>
      </c>
      <c r="E2469" s="156" t="str">
        <f>'Reported burning'!E2469</f>
        <v>Forestry, Industrial</v>
      </c>
      <c r="F2469" s="156" t="str">
        <f>'Reported burning'!F2469</f>
        <v>Forest</v>
      </c>
      <c r="G2469" s="156" t="str">
        <f>'Reported burning'!G2469</f>
        <v>Forest</v>
      </c>
      <c r="H2469" s="156" t="str">
        <f>'Reported burning'!H2469</f>
        <v>Presence</v>
      </c>
      <c r="I2469" s="5"/>
      <c r="J2469" s="21" t="s">
        <v>2276</v>
      </c>
      <c r="K2469" s="21" t="s">
        <v>2276</v>
      </c>
      <c r="L2469" s="21" t="s">
        <v>2276</v>
      </c>
      <c r="M2469" s="21" t="s">
        <v>2276</v>
      </c>
      <c r="N2469" s="21" t="s">
        <v>2276</v>
      </c>
      <c r="O2469" s="21" t="s">
        <v>2276</v>
      </c>
      <c r="P2469" s="21" t="s">
        <v>2276</v>
      </c>
      <c r="Q2469" s="21" t="s">
        <v>2276</v>
      </c>
      <c r="R2469" s="21" t="s">
        <v>2276</v>
      </c>
      <c r="S2469" s="21" t="s">
        <v>2276</v>
      </c>
      <c r="T2469" s="21" t="s">
        <v>2276</v>
      </c>
      <c r="U2469" s="21" t="s">
        <v>2276</v>
      </c>
      <c r="V2469" s="21" t="s">
        <v>2276</v>
      </c>
      <c r="W2469" s="21" t="s">
        <v>2276</v>
      </c>
      <c r="X2469" s="204" t="str">
        <f>'Reported burning'!Z2469</f>
        <v>ND</v>
      </c>
      <c r="Y2469" s="204" t="str">
        <f>'Reported burning'!AA2469</f>
        <v>ND</v>
      </c>
      <c r="Z2469" s="204" t="str">
        <f>'Reported burning'!AB2469</f>
        <v>ND</v>
      </c>
      <c r="AA2469" s="204"/>
      <c r="AB2469" s="204"/>
    </row>
    <row r="2470" spans="1:28" ht="47.5" customHeight="1">
      <c r="A2470" s="156" t="str">
        <f>'Reported burning'!A2470</f>
        <v>287b</v>
      </c>
      <c r="B2470" s="156" t="str">
        <f>'Reported burning'!B2470</f>
        <v>287b.2</v>
      </c>
      <c r="C2470" s="156" t="str">
        <f>'Reported burning'!C2470</f>
        <v>Human, deliberate</v>
      </c>
      <c r="D2470" s="156" t="str">
        <f>'Reported burning'!D2470</f>
        <v>Pyrome management</v>
      </c>
      <c r="E2470" s="156" t="str">
        <f>'Reported burning'!E2470</f>
        <v>Forestry, Industrial</v>
      </c>
      <c r="F2470" s="156" t="str">
        <f>'Reported burning'!F2470</f>
        <v>Forest</v>
      </c>
      <c r="G2470" s="156" t="str">
        <f>'Reported burning'!G2470</f>
        <v>Forest</v>
      </c>
      <c r="H2470" s="156" t="str">
        <f>'Reported burning'!H2470</f>
        <v>Presence</v>
      </c>
      <c r="I2470" s="5"/>
      <c r="J2470" s="21" t="s">
        <v>2276</v>
      </c>
      <c r="K2470" s="21" t="s">
        <v>2276</v>
      </c>
      <c r="L2470" s="21" t="s">
        <v>2276</v>
      </c>
      <c r="M2470" s="21" t="s">
        <v>2276</v>
      </c>
      <c r="N2470" s="21" t="s">
        <v>2276</v>
      </c>
      <c r="O2470" s="21" t="s">
        <v>2276</v>
      </c>
      <c r="P2470" s="21" t="s">
        <v>2276</v>
      </c>
      <c r="Q2470" s="21" t="s">
        <v>2276</v>
      </c>
      <c r="R2470" s="21" t="s">
        <v>2276</v>
      </c>
      <c r="S2470" s="21" t="s">
        <v>2276</v>
      </c>
      <c r="T2470" s="21" t="s">
        <v>2276</v>
      </c>
      <c r="U2470" s="21" t="s">
        <v>2276</v>
      </c>
      <c r="V2470" s="21" t="s">
        <v>2276</v>
      </c>
      <c r="W2470" s="21" t="s">
        <v>2276</v>
      </c>
      <c r="X2470" s="204" t="str">
        <f>'Reported burning'!Z2470</f>
        <v>ND</v>
      </c>
      <c r="Y2470" s="204" t="str">
        <f>'Reported burning'!AA2470</f>
        <v>ND</v>
      </c>
      <c r="Z2470" s="204" t="str">
        <f>'Reported burning'!AB2470</f>
        <v>ND</v>
      </c>
      <c r="AA2470" s="204"/>
      <c r="AB2470" s="204"/>
    </row>
    <row r="2471" spans="1:28" ht="47.5" customHeight="1">
      <c r="A2471" s="156" t="str">
        <f>'Reported burning'!A2471</f>
        <v>287c</v>
      </c>
      <c r="B2471" s="156" t="str">
        <f>'Reported burning'!B2471</f>
        <v>287c.1</v>
      </c>
      <c r="C2471" s="156" t="str">
        <f>'Reported burning'!C2471</f>
        <v>Unknown</v>
      </c>
      <c r="D2471" s="156" t="str">
        <f>'Reported burning'!D2471</f>
        <v>ND</v>
      </c>
      <c r="E2471" s="156" t="str">
        <f>'Reported burning'!E2471</f>
        <v>Forestry, Industrial</v>
      </c>
      <c r="F2471" s="156" t="str">
        <f>'Reported burning'!F2471</f>
        <v>Forest</v>
      </c>
      <c r="G2471" s="156" t="str">
        <f>'Reported burning'!G2471</f>
        <v>Forest</v>
      </c>
      <c r="H2471" s="156" t="str">
        <f>'Reported burning'!H2471</f>
        <v>Presence</v>
      </c>
      <c r="I2471" s="5"/>
      <c r="J2471" s="21" t="s">
        <v>2276</v>
      </c>
      <c r="K2471" s="21" t="s">
        <v>2276</v>
      </c>
      <c r="L2471" s="21" t="s">
        <v>2276</v>
      </c>
      <c r="M2471" s="21" t="s">
        <v>2276</v>
      </c>
      <c r="N2471" s="21" t="s">
        <v>2276</v>
      </c>
      <c r="O2471" s="21" t="s">
        <v>2276</v>
      </c>
      <c r="P2471" s="21" t="s">
        <v>2276</v>
      </c>
      <c r="Q2471" s="21" t="s">
        <v>2276</v>
      </c>
      <c r="R2471" s="21" t="s">
        <v>2276</v>
      </c>
      <c r="S2471" s="21" t="s">
        <v>2276</v>
      </c>
      <c r="T2471" s="21" t="s">
        <v>2276</v>
      </c>
      <c r="U2471" s="21" t="s">
        <v>2276</v>
      </c>
      <c r="V2471" s="21" t="s">
        <v>2276</v>
      </c>
      <c r="W2471" s="21" t="s">
        <v>2276</v>
      </c>
      <c r="X2471" s="204" t="str">
        <f>'Reported burning'!Z2471</f>
        <v>ND</v>
      </c>
      <c r="Y2471" s="204" t="str">
        <f>'Reported burning'!AA2471</f>
        <v>ND</v>
      </c>
      <c r="Z2471" s="204" t="str">
        <f>'Reported burning'!AB2471</f>
        <v>ND</v>
      </c>
      <c r="AA2471" s="204"/>
      <c r="AB2471" s="204"/>
    </row>
    <row r="2472" spans="1:28" ht="47.5" customHeight="1">
      <c r="A2472" s="156" t="str">
        <f>'Reported burning'!A2472</f>
        <v>287c</v>
      </c>
      <c r="B2472" s="156" t="str">
        <f>'Reported burning'!B2472</f>
        <v>287c.2</v>
      </c>
      <c r="C2472" s="156" t="str">
        <f>'Reported burning'!C2472</f>
        <v>Human, deliberate</v>
      </c>
      <c r="D2472" s="156" t="str">
        <f>'Reported burning'!D2472</f>
        <v>Pyrome management</v>
      </c>
      <c r="E2472" s="156" t="str">
        <f>'Reported burning'!E2472</f>
        <v>Forestry, Industrial</v>
      </c>
      <c r="F2472" s="156" t="str">
        <f>'Reported burning'!F2472</f>
        <v>Forest</v>
      </c>
      <c r="G2472" s="156" t="str">
        <f>'Reported burning'!G2472</f>
        <v>Forest</v>
      </c>
      <c r="H2472" s="156" t="str">
        <f>'Reported burning'!H2472</f>
        <v>Presence</v>
      </c>
      <c r="I2472" s="5"/>
      <c r="J2472" s="21" t="s">
        <v>2276</v>
      </c>
      <c r="K2472" s="21" t="s">
        <v>2276</v>
      </c>
      <c r="L2472" s="21" t="s">
        <v>2276</v>
      </c>
      <c r="M2472" s="21" t="s">
        <v>2276</v>
      </c>
      <c r="N2472" s="21" t="s">
        <v>2276</v>
      </c>
      <c r="O2472" s="21" t="s">
        <v>2276</v>
      </c>
      <c r="P2472" s="21" t="s">
        <v>2276</v>
      </c>
      <c r="Q2472" s="21" t="s">
        <v>2276</v>
      </c>
      <c r="R2472" s="21" t="s">
        <v>2276</v>
      </c>
      <c r="S2472" s="21" t="s">
        <v>2276</v>
      </c>
      <c r="T2472" s="21" t="s">
        <v>2276</v>
      </c>
      <c r="U2472" s="21" t="s">
        <v>2276</v>
      </c>
      <c r="V2472" s="21" t="s">
        <v>2276</v>
      </c>
      <c r="W2472" s="21" t="s">
        <v>2276</v>
      </c>
      <c r="X2472" s="204" t="str">
        <f>'Reported burning'!Z2472</f>
        <v>ND</v>
      </c>
      <c r="Y2472" s="204" t="str">
        <f>'Reported burning'!AA2472</f>
        <v>ND</v>
      </c>
      <c r="Z2472" s="204" t="str">
        <f>'Reported burning'!AB2472</f>
        <v>ND</v>
      </c>
      <c r="AA2472" s="204"/>
      <c r="AB2472" s="204"/>
    </row>
    <row r="2473" spans="1:28" ht="47.5" customHeight="1">
      <c r="A2473" s="156" t="str">
        <f>'Reported burning'!A2473</f>
        <v>287d</v>
      </c>
      <c r="B2473" s="156" t="str">
        <f>'Reported burning'!B2473</f>
        <v>287d.1</v>
      </c>
      <c r="C2473" s="156" t="str">
        <f>'Reported burning'!C2473</f>
        <v>Unknown</v>
      </c>
      <c r="D2473" s="156" t="str">
        <f>'Reported burning'!D2473</f>
        <v>ND</v>
      </c>
      <c r="E2473" s="156" t="str">
        <f>'Reported burning'!E2473</f>
        <v>Forestry, Industrial</v>
      </c>
      <c r="F2473" s="156" t="str">
        <f>'Reported burning'!F2473</f>
        <v>Forest</v>
      </c>
      <c r="G2473" s="156" t="str">
        <f>'Reported burning'!G2473</f>
        <v>Forest</v>
      </c>
      <c r="H2473" s="156" t="str">
        <f>'Reported burning'!H2473</f>
        <v>Presence</v>
      </c>
      <c r="I2473" s="5"/>
      <c r="J2473" s="21" t="s">
        <v>2276</v>
      </c>
      <c r="K2473" s="21" t="s">
        <v>2276</v>
      </c>
      <c r="L2473" s="21" t="s">
        <v>2276</v>
      </c>
      <c r="M2473" s="21" t="s">
        <v>2276</v>
      </c>
      <c r="N2473" s="21" t="s">
        <v>2276</v>
      </c>
      <c r="O2473" s="21" t="s">
        <v>2276</v>
      </c>
      <c r="P2473" s="21" t="s">
        <v>2276</v>
      </c>
      <c r="Q2473" s="21" t="s">
        <v>2276</v>
      </c>
      <c r="R2473" s="21" t="s">
        <v>2276</v>
      </c>
      <c r="S2473" s="21" t="s">
        <v>2276</v>
      </c>
      <c r="T2473" s="21" t="s">
        <v>2276</v>
      </c>
      <c r="U2473" s="21" t="s">
        <v>2276</v>
      </c>
      <c r="V2473" s="21" t="s">
        <v>2276</v>
      </c>
      <c r="W2473" s="21" t="s">
        <v>2276</v>
      </c>
      <c r="X2473" s="204" t="str">
        <f>'Reported burning'!Z2473</f>
        <v>ND</v>
      </c>
      <c r="Y2473" s="204" t="str">
        <f>'Reported burning'!AA2473</f>
        <v>ND</v>
      </c>
      <c r="Z2473" s="204" t="str">
        <f>'Reported burning'!AB2473</f>
        <v>ND</v>
      </c>
      <c r="AA2473" s="204"/>
      <c r="AB2473" s="204"/>
    </row>
    <row r="2474" spans="1:28" ht="47.5" customHeight="1">
      <c r="A2474" s="156" t="str">
        <f>'Reported burning'!A2474</f>
        <v>287d</v>
      </c>
      <c r="B2474" s="156" t="str">
        <f>'Reported burning'!B2474</f>
        <v>287d.2</v>
      </c>
      <c r="C2474" s="156" t="str">
        <f>'Reported burning'!C2474</f>
        <v>Human, deliberate</v>
      </c>
      <c r="D2474" s="156" t="str">
        <f>'Reported burning'!D2474</f>
        <v>Pyrome management</v>
      </c>
      <c r="E2474" s="156" t="str">
        <f>'Reported burning'!E2474</f>
        <v>Forestry, Industrial</v>
      </c>
      <c r="F2474" s="156" t="str">
        <f>'Reported burning'!F2474</f>
        <v>Forest</v>
      </c>
      <c r="G2474" s="156" t="str">
        <f>'Reported burning'!G2474</f>
        <v>Forest</v>
      </c>
      <c r="H2474" s="156" t="str">
        <f>'Reported burning'!H2474</f>
        <v>Presence</v>
      </c>
      <c r="I2474" s="5"/>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04" t="str">
        <f>'Reported burning'!Z2474</f>
        <v>ND</v>
      </c>
      <c r="Y2474" s="204" t="str">
        <f>'Reported burning'!AA2474</f>
        <v>ND</v>
      </c>
      <c r="Z2474" s="204" t="str">
        <f>'Reported burning'!AB2474</f>
        <v>ND</v>
      </c>
      <c r="AA2474" s="204"/>
      <c r="AB2474" s="204"/>
    </row>
    <row r="2475" spans="1:28" ht="47.5" customHeight="1">
      <c r="A2475" s="156" t="str">
        <f>'Reported burning'!A2475</f>
        <v>288a</v>
      </c>
      <c r="B2475" s="156" t="str">
        <f>'Reported burning'!B2475</f>
        <v>288a.1</v>
      </c>
      <c r="C2475" s="156" t="str">
        <f>'Reported burning'!C2475</f>
        <v>Human, deliberate</v>
      </c>
      <c r="D2475" s="156" t="str">
        <f>'Reported burning'!D2475</f>
        <v>Crop residue burning</v>
      </c>
      <c r="E2475" s="156" t="str">
        <f>'Reported burning'!E2475</f>
        <v>Forestry, Industrial</v>
      </c>
      <c r="F2475" s="156" t="str">
        <f>'Reported burning'!F2475</f>
        <v>Forest</v>
      </c>
      <c r="G2475" s="156" t="str">
        <f>'Reported burning'!G2475</f>
        <v>Forest</v>
      </c>
      <c r="H2475" s="156" t="str">
        <f>'Reported burning'!H2475</f>
        <v>Presence</v>
      </c>
      <c r="I2475" s="5"/>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04" t="str">
        <f>'Reported burning'!Z2475</f>
        <v>ND</v>
      </c>
      <c r="Y2475" s="204" t="str">
        <f>'Reported burning'!AA2475</f>
        <v>ND</v>
      </c>
      <c r="Z2475" s="204" t="str">
        <f>'Reported burning'!AB2475</f>
        <v>ND</v>
      </c>
      <c r="AA2475" s="204"/>
      <c r="AB2475" s="204"/>
    </row>
    <row r="2476" spans="1:28" ht="47.5" customHeight="1">
      <c r="A2476" s="156" t="str">
        <f>'Reported burning'!A2476</f>
        <v>288b</v>
      </c>
      <c r="B2476" s="156" t="str">
        <f>'Reported burning'!B2476</f>
        <v>288b.1</v>
      </c>
      <c r="C2476" s="156" t="str">
        <f>'Reported burning'!C2476</f>
        <v>Human, deliberate</v>
      </c>
      <c r="D2476" s="156" t="str">
        <f>'Reported burning'!D2476</f>
        <v>Crop residue burning</v>
      </c>
      <c r="E2476" s="156" t="str">
        <f>'Reported burning'!E2476</f>
        <v>Forestry, Industrial</v>
      </c>
      <c r="F2476" s="156" t="str">
        <f>'Reported burning'!F2476</f>
        <v>Forest</v>
      </c>
      <c r="G2476" s="156" t="str">
        <f>'Reported burning'!G2476</f>
        <v>Forest</v>
      </c>
      <c r="H2476" s="156" t="str">
        <f>'Reported burning'!H2476</f>
        <v>Presence</v>
      </c>
      <c r="I2476" s="5"/>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04" t="str">
        <f>'Reported burning'!Z2476</f>
        <v>ND</v>
      </c>
      <c r="Y2476" s="204" t="str">
        <f>'Reported burning'!AA2476</f>
        <v>ND</v>
      </c>
      <c r="Z2476" s="204" t="str">
        <f>'Reported burning'!AB2476</f>
        <v>ND</v>
      </c>
      <c r="AA2476" s="204"/>
      <c r="AB2476" s="204"/>
    </row>
    <row r="2477" spans="1:28" ht="47.5" customHeight="1">
      <c r="A2477" s="156" t="str">
        <f>'Reported burning'!A2477</f>
        <v>288c</v>
      </c>
      <c r="B2477" s="156" t="str">
        <f>'Reported burning'!B2477</f>
        <v>288c.1</v>
      </c>
      <c r="C2477" s="156" t="str">
        <f>'Reported burning'!C2477</f>
        <v>Human, deliberate</v>
      </c>
      <c r="D2477" s="156" t="str">
        <f>'Reported burning'!D2477</f>
        <v>Crop residue burning</v>
      </c>
      <c r="E2477" s="156" t="str">
        <f>'Reported burning'!E2477</f>
        <v>Forestry, Industrial</v>
      </c>
      <c r="F2477" s="156" t="str">
        <f>'Reported burning'!F2477</f>
        <v>Forest</v>
      </c>
      <c r="G2477" s="156" t="str">
        <f>'Reported burning'!G2477</f>
        <v>Forest</v>
      </c>
      <c r="H2477" s="156" t="str">
        <f>'Reported burning'!H2477</f>
        <v>Presence</v>
      </c>
      <c r="I2477" s="5"/>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21" t="s">
        <v>2276</v>
      </c>
      <c r="AA2477" s="204"/>
      <c r="AB2477" s="204"/>
    </row>
    <row r="2478" spans="1:28" ht="47.5" customHeight="1">
      <c r="A2478" s="156" t="str">
        <f>'Reported burning'!A2478</f>
        <v>288c</v>
      </c>
      <c r="B2478" s="156" t="str">
        <f>'Reported burning'!B2478</f>
        <v>288c.2</v>
      </c>
      <c r="C2478" s="156" t="str">
        <f>'Reported burning'!C2478</f>
        <v>Human, deliberate</v>
      </c>
      <c r="D2478" s="156" t="str">
        <f>'Reported burning'!D2478</f>
        <v>Pyrome management</v>
      </c>
      <c r="E2478" s="156" t="str">
        <f>'Reported burning'!E2478</f>
        <v>Forestry, Industrial</v>
      </c>
      <c r="F2478" s="156" t="str">
        <f>'Reported burning'!F2478</f>
        <v>Forest</v>
      </c>
      <c r="G2478" s="156" t="str">
        <f>'Reported burning'!G2478</f>
        <v>Forest</v>
      </c>
      <c r="H2478" s="156" t="str">
        <f>'Reported burning'!H2478</f>
        <v>Presence</v>
      </c>
      <c r="I2478" s="5"/>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04"/>
      <c r="AB2478" s="204"/>
    </row>
    <row r="2479" spans="1:28" ht="47.5" customHeight="1">
      <c r="A2479" s="156" t="str">
        <f>'Reported burning'!A2479</f>
        <v>288d</v>
      </c>
      <c r="B2479" s="156" t="str">
        <f>'Reported burning'!B2479</f>
        <v>288d.1</v>
      </c>
      <c r="C2479" s="156" t="str">
        <f>'Reported burning'!C2479</f>
        <v>Human, deliberate</v>
      </c>
      <c r="D2479" s="156" t="str">
        <f>'Reported burning'!D2479</f>
        <v>Crop residue burning</v>
      </c>
      <c r="E2479" s="156" t="str">
        <f>'Reported burning'!E2479</f>
        <v>Forestry, Industrial</v>
      </c>
      <c r="F2479" s="156" t="str">
        <f>'Reported burning'!F2479</f>
        <v>Forest</v>
      </c>
      <c r="G2479" s="156" t="str">
        <f>'Reported burning'!G2479</f>
        <v>Forest</v>
      </c>
      <c r="H2479" s="156" t="str">
        <f>'Reported burning'!H2479</f>
        <v>Presence</v>
      </c>
      <c r="I2479" s="5"/>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04"/>
      <c r="AB2479" s="204"/>
    </row>
    <row r="2480" spans="1:28" s="203" customFormat="1" ht="47.5" customHeight="1">
      <c r="A2480" s="156" t="str">
        <f>'Reported burning'!A2480</f>
        <v>288d</v>
      </c>
      <c r="B2480" s="156" t="str">
        <f>'Reported burning'!B2480</f>
        <v>288d.2</v>
      </c>
      <c r="C2480" s="156" t="str">
        <f>'Reported burning'!C2480</f>
        <v>Human, deliberate</v>
      </c>
      <c r="D2480" s="156" t="str">
        <f>'Reported burning'!D2480</f>
        <v>Pyrome management</v>
      </c>
      <c r="E2480" s="156" t="str">
        <f>'Reported burning'!E2480</f>
        <v>Forestry, Industrial</v>
      </c>
      <c r="F2480" s="156" t="str">
        <f>'Reported burning'!F2480</f>
        <v>Forest</v>
      </c>
      <c r="G2480" s="156" t="str">
        <f>'Reported burning'!G2480</f>
        <v>Forest</v>
      </c>
      <c r="H2480" s="156" t="str">
        <f>'Reported burning'!H2480</f>
        <v>Presence</v>
      </c>
      <c r="I2480" s="5"/>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04"/>
      <c r="AB2480" s="204"/>
    </row>
    <row r="2481" spans="1:28" ht="47.5" customHeight="1">
      <c r="A2481" s="156" t="str">
        <f>'Reported burning'!A2481</f>
        <v>288e</v>
      </c>
      <c r="B2481" s="156" t="str">
        <f>'Reported burning'!B2481</f>
        <v>288e.1</v>
      </c>
      <c r="C2481" s="156" t="str">
        <f>'Reported burning'!C2481</f>
        <v>Human, deliberate</v>
      </c>
      <c r="D2481" s="156" t="str">
        <f>'Reported burning'!D2481</f>
        <v>Crop residue burning</v>
      </c>
      <c r="E2481" s="156" t="str">
        <f>'Reported burning'!E2481</f>
        <v>Forestry, Industrial</v>
      </c>
      <c r="F2481" s="156" t="str">
        <f>'Reported burning'!F2481</f>
        <v>Forest</v>
      </c>
      <c r="G2481" s="156" t="str">
        <f>'Reported burning'!G2481</f>
        <v>Forest</v>
      </c>
      <c r="H2481" s="156" t="str">
        <f>'Reported burning'!H2481</f>
        <v>Presence</v>
      </c>
      <c r="I2481" s="5"/>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04"/>
      <c r="AB2481" s="204"/>
    </row>
    <row r="2482" spans="1:28" s="203" customFormat="1" ht="47.5" customHeight="1">
      <c r="A2482" s="156" t="str">
        <f>'Reported burning'!A2482</f>
        <v>288f</v>
      </c>
      <c r="B2482" s="156" t="str">
        <f>'Reported burning'!B2482</f>
        <v>288f.1</v>
      </c>
      <c r="C2482" s="156" t="str">
        <f>'Reported burning'!C2482</f>
        <v>Human, deliberate</v>
      </c>
      <c r="D2482" s="156" t="str">
        <f>'Reported burning'!D2482</f>
        <v>Crop residue burning</v>
      </c>
      <c r="E2482" s="156" t="str">
        <f>'Reported burning'!E2482</f>
        <v>Forestry, Industrial</v>
      </c>
      <c r="F2482" s="156" t="str">
        <f>'Reported burning'!F2482</f>
        <v>Forest</v>
      </c>
      <c r="G2482" s="156" t="str">
        <f>'Reported burning'!G2482</f>
        <v>Forest</v>
      </c>
      <c r="H2482" s="156" t="str">
        <f>'Reported burning'!H2482</f>
        <v>Presence</v>
      </c>
      <c r="I2482" s="5"/>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04"/>
      <c r="AB2482" s="204"/>
    </row>
    <row r="2483" spans="1:28" ht="47.5" customHeight="1">
      <c r="A2483" s="156" t="str">
        <f>'Reported burning'!A2483</f>
        <v>288g</v>
      </c>
      <c r="B2483" s="156" t="str">
        <f>'Reported burning'!B2483</f>
        <v>288g.1</v>
      </c>
      <c r="C2483" s="156" t="str">
        <f>'Reported burning'!C2483</f>
        <v>Human, deliberate</v>
      </c>
      <c r="D2483" s="156" t="str">
        <f>'Reported burning'!D2483</f>
        <v>Crop residue burning</v>
      </c>
      <c r="E2483" s="156" t="str">
        <f>'Reported burning'!E2483</f>
        <v>Forestry, Industrial</v>
      </c>
      <c r="F2483" s="156" t="str">
        <f>'Reported burning'!F2483</f>
        <v>Forest</v>
      </c>
      <c r="G2483" s="156" t="str">
        <f>'Reported burning'!G2483</f>
        <v>Forest</v>
      </c>
      <c r="H2483" s="156" t="str">
        <f>'Reported burning'!H2483</f>
        <v>Presence</v>
      </c>
      <c r="I2483" s="5"/>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04"/>
      <c r="AB2483" s="204"/>
    </row>
    <row r="2484" spans="1:28" ht="47.5" customHeight="1">
      <c r="A2484" s="156" t="str">
        <f>'Reported burning'!A2484</f>
        <v>288g</v>
      </c>
      <c r="B2484" s="156" t="str">
        <f>'Reported burning'!B2484</f>
        <v>288g.2</v>
      </c>
      <c r="C2484" s="156" t="str">
        <f>'Reported burning'!C2484</f>
        <v>Human, deliberate</v>
      </c>
      <c r="D2484" s="156" t="str">
        <f>'Reported burning'!D2484</f>
        <v>Pyrome management</v>
      </c>
      <c r="E2484" s="156" t="str">
        <f>'Reported burning'!E2484</f>
        <v>Forestry, Industrial</v>
      </c>
      <c r="F2484" s="156" t="str">
        <f>'Reported burning'!F2484</f>
        <v>Forest</v>
      </c>
      <c r="G2484" s="156" t="str">
        <f>'Reported burning'!G2484</f>
        <v>Forest</v>
      </c>
      <c r="H2484" s="156" t="str">
        <f>'Reported burning'!H2484</f>
        <v>Presence</v>
      </c>
      <c r="I2484" s="5"/>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04"/>
      <c r="AB2484" s="204"/>
    </row>
    <row r="2485" spans="1:28" ht="47.5" customHeight="1">
      <c r="A2485" s="156" t="str">
        <f>'Reported burning'!A2485</f>
        <v>288h</v>
      </c>
      <c r="B2485" s="156" t="str">
        <f>'Reported burning'!B2485</f>
        <v>288h.1</v>
      </c>
      <c r="C2485" s="156" t="str">
        <f>'Reported burning'!C2485</f>
        <v>Human, deliberate</v>
      </c>
      <c r="D2485" s="156" t="str">
        <f>'Reported burning'!D2485</f>
        <v>Crop residue burning</v>
      </c>
      <c r="E2485" s="156" t="str">
        <f>'Reported burning'!E2485</f>
        <v>Forestry, Industrial</v>
      </c>
      <c r="F2485" s="156" t="str">
        <f>'Reported burning'!F2485</f>
        <v>Forest</v>
      </c>
      <c r="G2485" s="156" t="str">
        <f>'Reported burning'!G2485</f>
        <v>Forest</v>
      </c>
      <c r="H2485" s="156" t="str">
        <f>'Reported burning'!H2485</f>
        <v>Presence</v>
      </c>
      <c r="I2485" s="5"/>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04"/>
      <c r="AB2485" s="204"/>
    </row>
    <row r="2486" spans="1:28" s="203" customFormat="1" ht="47.5" customHeight="1">
      <c r="A2486" s="156" t="str">
        <f>'Reported burning'!A2486</f>
        <v>288i</v>
      </c>
      <c r="B2486" s="156" t="str">
        <f>'Reported burning'!B2486</f>
        <v>288i.1</v>
      </c>
      <c r="C2486" s="156" t="str">
        <f>'Reported burning'!C2486</f>
        <v>Human, deliberate</v>
      </c>
      <c r="D2486" s="156" t="str">
        <f>'Reported burning'!D2486</f>
        <v>Crop residue burning</v>
      </c>
      <c r="E2486" s="156" t="str">
        <f>'Reported burning'!E2486</f>
        <v>Forestry, Industrial</v>
      </c>
      <c r="F2486" s="156" t="str">
        <f>'Reported burning'!F2486</f>
        <v>Forest</v>
      </c>
      <c r="G2486" s="156" t="str">
        <f>'Reported burning'!G2486</f>
        <v>Forest</v>
      </c>
      <c r="H2486" s="156" t="str">
        <f>'Reported burning'!H2486</f>
        <v>Presence</v>
      </c>
      <c r="I2486" s="5"/>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04"/>
      <c r="AB2486" s="204"/>
    </row>
    <row r="2487" spans="1:28" ht="47.5" customHeight="1">
      <c r="A2487" s="156" t="str">
        <f>'Reported burning'!A2487</f>
        <v>288j</v>
      </c>
      <c r="B2487" s="156" t="str">
        <f>'Reported burning'!B2487</f>
        <v>288j.1</v>
      </c>
      <c r="C2487" s="156" t="str">
        <f>'Reported burning'!C2487</f>
        <v>Human, deliberate</v>
      </c>
      <c r="D2487" s="156" t="str">
        <f>'Reported burning'!D2487</f>
        <v>Crop residue burning</v>
      </c>
      <c r="E2487" s="156" t="str">
        <f>'Reported burning'!E2487</f>
        <v>Forestry, Industrial</v>
      </c>
      <c r="F2487" s="156" t="str">
        <f>'Reported burning'!F2487</f>
        <v>Forest</v>
      </c>
      <c r="G2487" s="156" t="str">
        <f>'Reported burning'!G2487</f>
        <v>Forest</v>
      </c>
      <c r="H2487" s="156" t="str">
        <f>'Reported burning'!H2487</f>
        <v>Presence</v>
      </c>
      <c r="I2487" s="5"/>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04"/>
      <c r="AB2487" s="204"/>
    </row>
    <row r="2488" spans="1:28" ht="47.5" customHeight="1">
      <c r="A2488" s="156" t="str">
        <f>'Reported burning'!A2488</f>
        <v>288j</v>
      </c>
      <c r="B2488" s="156" t="str">
        <f>'Reported burning'!B2488</f>
        <v>288j.2</v>
      </c>
      <c r="C2488" s="156" t="str">
        <f>'Reported burning'!C2488</f>
        <v>Human, deliberate</v>
      </c>
      <c r="D2488" s="156" t="str">
        <f>'Reported burning'!D2488</f>
        <v>Pyrome management</v>
      </c>
      <c r="E2488" s="156" t="str">
        <f>'Reported burning'!E2488</f>
        <v>Forestry, Industrial</v>
      </c>
      <c r="F2488" s="156" t="str">
        <f>'Reported burning'!F2488</f>
        <v>Forest</v>
      </c>
      <c r="G2488" s="156" t="str">
        <f>'Reported burning'!G2488</f>
        <v>Forest</v>
      </c>
      <c r="H2488" s="156" t="str">
        <f>'Reported burning'!H2488</f>
        <v>Presence</v>
      </c>
      <c r="I2488" s="5"/>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04"/>
      <c r="AB2488" s="204"/>
    </row>
    <row r="2489" spans="1:28" ht="47.5" customHeight="1">
      <c r="A2489" s="156" t="str">
        <f>'Reported burning'!A2489</f>
        <v>288k</v>
      </c>
      <c r="B2489" s="156" t="str">
        <f>'Reported burning'!B2489</f>
        <v>288k.1</v>
      </c>
      <c r="C2489" s="156" t="str">
        <f>'Reported burning'!C2489</f>
        <v>Human, deliberate</v>
      </c>
      <c r="D2489" s="156" t="str">
        <f>'Reported burning'!D2489</f>
        <v>Crop residue burning</v>
      </c>
      <c r="E2489" s="156" t="str">
        <f>'Reported burning'!E2489</f>
        <v>Forestry, Industrial</v>
      </c>
      <c r="F2489" s="156" t="str">
        <f>'Reported burning'!F2489</f>
        <v>Forest</v>
      </c>
      <c r="G2489" s="156" t="str">
        <f>'Reported burning'!G2489</f>
        <v>Forest</v>
      </c>
      <c r="H2489" s="156" t="str">
        <f>'Reported burning'!H2489</f>
        <v>Presence</v>
      </c>
      <c r="I2489" s="5"/>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04"/>
      <c r="AB2489" s="204"/>
    </row>
    <row r="2490" spans="1:28" s="203" customFormat="1" ht="47.5" customHeight="1">
      <c r="A2490" s="156" t="str">
        <f>'Reported burning'!A2490</f>
        <v>288k</v>
      </c>
      <c r="B2490" s="156" t="str">
        <f>'Reported burning'!B2490</f>
        <v>288k.2</v>
      </c>
      <c r="C2490" s="156" t="str">
        <f>'Reported burning'!C2490</f>
        <v>Human, deliberate</v>
      </c>
      <c r="D2490" s="156" t="str">
        <f>'Reported burning'!D2490</f>
        <v>Pyrome management</v>
      </c>
      <c r="E2490" s="156" t="str">
        <f>'Reported burning'!E2490</f>
        <v>Forestry, Industrial</v>
      </c>
      <c r="F2490" s="156" t="str">
        <f>'Reported burning'!F2490</f>
        <v>Forest</v>
      </c>
      <c r="G2490" s="156" t="str">
        <f>'Reported burning'!G2490</f>
        <v>Forest</v>
      </c>
      <c r="H2490" s="156" t="str">
        <f>'Reported burning'!H2490</f>
        <v>Presence</v>
      </c>
      <c r="I2490" s="5"/>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04"/>
      <c r="AB2490" s="204"/>
    </row>
    <row r="2491" spans="1:28" ht="47.5" customHeight="1">
      <c r="A2491" s="156" t="str">
        <f>'Reported burning'!A2491</f>
        <v>289a</v>
      </c>
      <c r="B2491" s="156" t="str">
        <f>'Reported burning'!B2491</f>
        <v>289a.1</v>
      </c>
      <c r="C2491" s="156" t="str">
        <f>'Reported burning'!C2491</f>
        <v>Human, escaped</v>
      </c>
      <c r="D2491" s="156" t="str">
        <f>'Reported burning'!D2491</f>
        <v>ND</v>
      </c>
      <c r="E2491" s="156" t="str">
        <f>'Reported burning'!E2491</f>
        <v>Tourism manager</v>
      </c>
      <c r="F2491" s="156" t="str">
        <f>'Reported burning'!F2491</f>
        <v>Forest</v>
      </c>
      <c r="G2491" s="156" t="str">
        <f>'Reported burning'!G2491</f>
        <v>Forest</v>
      </c>
      <c r="H2491" s="156" t="str">
        <f>'Reported burning'!H2491</f>
        <v>Presence</v>
      </c>
      <c r="I2491" s="5"/>
      <c r="J2491" s="21" t="s">
        <v>2276</v>
      </c>
      <c r="K2491" s="21" t="s">
        <v>2276</v>
      </c>
      <c r="L2491" s="21" t="s">
        <v>2276</v>
      </c>
      <c r="M2491" s="21" t="s">
        <v>2276</v>
      </c>
      <c r="N2491" s="21" t="s">
        <v>2276</v>
      </c>
      <c r="O2491" s="21" t="s">
        <v>2276</v>
      </c>
      <c r="P2491" s="21" t="s">
        <v>2276</v>
      </c>
      <c r="Q2491" s="21" t="s">
        <v>2276</v>
      </c>
      <c r="R2491" s="21" t="s">
        <v>2276</v>
      </c>
      <c r="S2491" s="21" t="s">
        <v>2276</v>
      </c>
      <c r="T2491" s="21" t="s">
        <v>2276</v>
      </c>
      <c r="U2491" s="21" t="s">
        <v>2276</v>
      </c>
      <c r="V2491" s="21" t="s">
        <v>2276</v>
      </c>
      <c r="W2491" s="21" t="s">
        <v>2276</v>
      </c>
      <c r="X2491" s="204" t="str">
        <f>'Reported burning'!Z2491</f>
        <v>March</v>
      </c>
      <c r="Y2491" s="204" t="str">
        <f>'Reported burning'!AA2491</f>
        <v>October</v>
      </c>
      <c r="Z2491" s="204" t="str">
        <f>'Reported burning'!AB2491</f>
        <v>ND</v>
      </c>
      <c r="AA2491" s="204"/>
      <c r="AB2491" s="204"/>
    </row>
    <row r="2492" spans="1:28" s="203" customFormat="1" ht="47.5" customHeight="1">
      <c r="A2492" s="156" t="str">
        <f>'Reported burning'!A2492</f>
        <v>289a</v>
      </c>
      <c r="B2492" s="156" t="str">
        <f>'Reported burning'!B2492</f>
        <v>289a.2</v>
      </c>
      <c r="C2492" s="156" t="str">
        <f>'Reported burning'!C2492</f>
        <v>Lightning</v>
      </c>
      <c r="D2492" s="156" t="str">
        <f>'Reported burning'!D2492</f>
        <v>ND</v>
      </c>
      <c r="E2492" s="156" t="str">
        <f>'Reported burning'!E2492</f>
        <v>Biodiversity conservation</v>
      </c>
      <c r="F2492" s="156" t="str">
        <f>'Reported burning'!F2492</f>
        <v>Forest</v>
      </c>
      <c r="G2492" s="156" t="str">
        <f>'Reported burning'!G2492</f>
        <v>Forest</v>
      </c>
      <c r="H2492" s="156" t="str">
        <f>'Reported burning'!H2492</f>
        <v>Presence</v>
      </c>
      <c r="I2492" s="5"/>
      <c r="J2492" s="21" t="s">
        <v>2276</v>
      </c>
      <c r="K2492" s="21" t="s">
        <v>2276</v>
      </c>
      <c r="L2492" s="21" t="s">
        <v>2276</v>
      </c>
      <c r="M2492" s="21" t="s">
        <v>2276</v>
      </c>
      <c r="N2492" s="21" t="s">
        <v>2276</v>
      </c>
      <c r="O2492" s="21" t="s">
        <v>2276</v>
      </c>
      <c r="P2492" s="21" t="s">
        <v>2276</v>
      </c>
      <c r="Q2492" s="21" t="s">
        <v>2276</v>
      </c>
      <c r="R2492" s="21" t="s">
        <v>2276</v>
      </c>
      <c r="S2492" s="21" t="s">
        <v>2276</v>
      </c>
      <c r="T2492" s="21" t="s">
        <v>2276</v>
      </c>
      <c r="U2492" s="21" t="s">
        <v>2276</v>
      </c>
      <c r="V2492" s="21" t="s">
        <v>2276</v>
      </c>
      <c r="W2492" s="21" t="s">
        <v>2276</v>
      </c>
      <c r="X2492" s="204" t="str">
        <f>'Reported burning'!Z2492</f>
        <v>March</v>
      </c>
      <c r="Y2492" s="204" t="str">
        <f>'Reported burning'!AA2492</f>
        <v>October</v>
      </c>
      <c r="Z2492" s="204" t="str">
        <f>'Reported burning'!AB2492</f>
        <v>ND</v>
      </c>
      <c r="AA2492" s="204"/>
      <c r="AB2492" s="204"/>
    </row>
    <row r="2493" spans="1:28" ht="47.5" customHeight="1">
      <c r="A2493" s="156" t="str">
        <f>'Reported burning'!A2493</f>
        <v>289a</v>
      </c>
      <c r="B2493" s="156" t="str">
        <f>'Reported burning'!B2493</f>
        <v>289a.3</v>
      </c>
      <c r="C2493" s="156" t="str">
        <f>'Reported burning'!C2493</f>
        <v>All</v>
      </c>
      <c r="D2493" s="156" t="str">
        <f>'Reported burning'!D2493</f>
        <v>ND</v>
      </c>
      <c r="E2493" s="156" t="str">
        <f>'Reported burning'!E2493</f>
        <v>All</v>
      </c>
      <c r="F2493" s="156" t="str">
        <f>'Reported burning'!F2493</f>
        <v>Forest</v>
      </c>
      <c r="G2493" s="156" t="str">
        <f>'Reported burning'!G2493</f>
        <v>Forest</v>
      </c>
      <c r="H2493" s="156" t="str">
        <f>'Reported burning'!H2493</f>
        <v>Presence</v>
      </c>
      <c r="I2493" s="5"/>
      <c r="J2493" s="21" t="s">
        <v>2368</v>
      </c>
      <c r="K2493" s="21" t="s">
        <v>2276</v>
      </c>
      <c r="L2493" s="21" t="s">
        <v>2362</v>
      </c>
      <c r="M2493" s="21" t="s">
        <v>2276</v>
      </c>
      <c r="N2493" s="21" t="s">
        <v>2276</v>
      </c>
      <c r="O2493" s="21" t="s">
        <v>2276</v>
      </c>
      <c r="P2493" s="21" t="s">
        <v>2276</v>
      </c>
      <c r="Q2493" s="21" t="s">
        <v>2276</v>
      </c>
      <c r="R2493" s="21" t="s">
        <v>2375</v>
      </c>
      <c r="S2493" s="21" t="s">
        <v>2276</v>
      </c>
      <c r="T2493" s="21" t="s">
        <v>2276</v>
      </c>
      <c r="U2493" s="21" t="s">
        <v>2276</v>
      </c>
      <c r="V2493" s="21" t="s">
        <v>2276</v>
      </c>
      <c r="W2493" s="21" t="s">
        <v>2276</v>
      </c>
      <c r="X2493" s="204" t="str">
        <f>'Reported burning'!Z2493</f>
        <v>March</v>
      </c>
      <c r="Y2493" s="204" t="str">
        <f>'Reported burning'!AA2493</f>
        <v>October</v>
      </c>
      <c r="Z2493" s="204" t="str">
        <f>'Reported burning'!AB2493</f>
        <v>ND</v>
      </c>
      <c r="AA2493" s="204"/>
      <c r="AB2493" s="4" t="s">
        <v>7859</v>
      </c>
    </row>
    <row r="2494" spans="1:28" ht="47.5" customHeight="1">
      <c r="A2494" s="156" t="str">
        <f>'Reported burning'!A2494</f>
        <v>289b</v>
      </c>
      <c r="B2494" s="156" t="str">
        <f>'Reported burning'!B2494</f>
        <v>289b.1</v>
      </c>
      <c r="C2494" s="156" t="str">
        <f>'Reported burning'!C2494</f>
        <v>Human, escaped</v>
      </c>
      <c r="D2494" s="156" t="str">
        <f>'Reported burning'!D2494</f>
        <v>ND</v>
      </c>
      <c r="E2494" s="156" t="str">
        <f>'Reported burning'!E2494</f>
        <v>Forestry, Industrial</v>
      </c>
      <c r="F2494" s="156" t="str">
        <f>'Reported burning'!F2494</f>
        <v>Forest</v>
      </c>
      <c r="G2494" s="156" t="str">
        <f>'Reported burning'!G2494</f>
        <v>Forest</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21" t="s">
        <v>2276</v>
      </c>
      <c r="T2494" s="21" t="s">
        <v>2276</v>
      </c>
      <c r="U2494" s="21" t="s">
        <v>2276</v>
      </c>
      <c r="V2494" s="21" t="s">
        <v>2276</v>
      </c>
      <c r="W2494" s="21" t="s">
        <v>2276</v>
      </c>
      <c r="X2494" s="204" t="str">
        <f>'Reported burning'!Z2494</f>
        <v>March</v>
      </c>
      <c r="Y2494" s="204" t="str">
        <f>'Reported burning'!AA2494</f>
        <v>October</v>
      </c>
      <c r="Z2494" s="204" t="str">
        <f>'Reported burning'!AB2494</f>
        <v>ND</v>
      </c>
      <c r="AA2494" s="204"/>
      <c r="AB2494" s="4"/>
    </row>
    <row r="2495" spans="1:28" s="203" customFormat="1" ht="47.5" customHeight="1">
      <c r="A2495" s="156" t="str">
        <f>'Reported burning'!A2495</f>
        <v>289b</v>
      </c>
      <c r="B2495" s="156" t="str">
        <f>'Reported burning'!B2495</f>
        <v>289b.2</v>
      </c>
      <c r="C2495" s="156" t="str">
        <f>'Reported burning'!C2495</f>
        <v>Lightning</v>
      </c>
      <c r="D2495" s="156" t="str">
        <f>'Reported burning'!D2495</f>
        <v>ND</v>
      </c>
      <c r="E2495" s="156" t="str">
        <f>'Reported burning'!E2495</f>
        <v>Forestry, Industrial</v>
      </c>
      <c r="F2495" s="156" t="str">
        <f>'Reported burning'!F2495</f>
        <v>Forest</v>
      </c>
      <c r="G2495" s="156" t="str">
        <f>'Reported burning'!G2495</f>
        <v>Forest</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21" t="s">
        <v>2276</v>
      </c>
      <c r="W2495" s="21" t="s">
        <v>2276</v>
      </c>
      <c r="X2495" s="204" t="str">
        <f>'Reported burning'!Z2495</f>
        <v>March</v>
      </c>
      <c r="Y2495" s="204" t="str">
        <f>'Reported burning'!AA2495</f>
        <v>October</v>
      </c>
      <c r="Z2495" s="204" t="str">
        <f>'Reported burning'!AB2495</f>
        <v>ND</v>
      </c>
      <c r="AA2495" s="204"/>
      <c r="AB2495" s="4"/>
    </row>
    <row r="2496" spans="1:28" ht="47.5" customHeight="1">
      <c r="A2496" s="156" t="str">
        <f>'Reported burning'!A2496</f>
        <v>289b</v>
      </c>
      <c r="B2496" s="156" t="str">
        <f>'Reported burning'!B2496</f>
        <v>289b.3</v>
      </c>
      <c r="C2496" s="156" t="str">
        <f>'Reported burning'!C2496</f>
        <v>All</v>
      </c>
      <c r="D2496" s="156" t="str">
        <f>'Reported burning'!D2496</f>
        <v>ND</v>
      </c>
      <c r="E2496" s="156" t="str">
        <f>'Reported burning'!E2496</f>
        <v>All</v>
      </c>
      <c r="F2496" s="156" t="str">
        <f>'Reported burning'!F2496</f>
        <v>Forest</v>
      </c>
      <c r="G2496" s="156" t="str">
        <f>'Reported burning'!G2496</f>
        <v>Forest</v>
      </c>
      <c r="H2496" s="156" t="str">
        <f>'Reported burning'!H2496</f>
        <v>Presence</v>
      </c>
      <c r="I2496" s="5"/>
      <c r="J2496" s="21" t="s">
        <v>2369</v>
      </c>
      <c r="K2496" s="21" t="s">
        <v>2276</v>
      </c>
      <c r="L2496" s="21" t="s">
        <v>2362</v>
      </c>
      <c r="M2496" s="21" t="s">
        <v>2276</v>
      </c>
      <c r="N2496" s="21" t="s">
        <v>2276</v>
      </c>
      <c r="O2496" s="21" t="s">
        <v>2276</v>
      </c>
      <c r="P2496" s="21" t="s">
        <v>2276</v>
      </c>
      <c r="Q2496" s="21" t="s">
        <v>2276</v>
      </c>
      <c r="R2496" s="21" t="s">
        <v>2375</v>
      </c>
      <c r="S2496" s="21" t="s">
        <v>2276</v>
      </c>
      <c r="T2496" s="21" t="s">
        <v>2276</v>
      </c>
      <c r="U2496" s="21" t="s">
        <v>2276</v>
      </c>
      <c r="V2496" s="21" t="s">
        <v>2276</v>
      </c>
      <c r="W2496" s="21" t="s">
        <v>2276</v>
      </c>
      <c r="X2496" s="204" t="str">
        <f>'Reported burning'!Z2496</f>
        <v>March</v>
      </c>
      <c r="Y2496" s="204" t="str">
        <f>'Reported burning'!AA2496</f>
        <v>October</v>
      </c>
      <c r="Z2496" s="204" t="str">
        <f>'Reported burning'!AB2496</f>
        <v>ND</v>
      </c>
      <c r="AA2496" s="204"/>
      <c r="AB2496" s="4" t="s">
        <v>7859</v>
      </c>
    </row>
    <row r="2497" spans="1:28" ht="47.5" customHeight="1">
      <c r="A2497" s="156" t="str">
        <f>'Reported burning'!A2497</f>
        <v>290a</v>
      </c>
      <c r="B2497" s="156" t="str">
        <f>'Reported burning'!B2497</f>
        <v>290a.1</v>
      </c>
      <c r="C2497" s="156" t="str">
        <f>'Reported burning'!C2497</f>
        <v>All</v>
      </c>
      <c r="D2497" s="156" t="str">
        <f>'Reported burning'!D2497</f>
        <v>ND</v>
      </c>
      <c r="E2497" s="156" t="str">
        <f>'Reported burning'!E2497</f>
        <v>Forestry, Industrial</v>
      </c>
      <c r="F2497" s="156" t="str">
        <f>'Reported burning'!F2497</f>
        <v>Forest</v>
      </c>
      <c r="G2497" s="156" t="str">
        <f>'Reported burning'!G2497</f>
        <v>Forest</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21" t="s">
        <v>2276</v>
      </c>
      <c r="X2497" s="204" t="str">
        <f>'Reported burning'!Z2497</f>
        <v>ND</v>
      </c>
      <c r="Y2497" s="204" t="str">
        <f>'Reported burning'!AA2497</f>
        <v>ND</v>
      </c>
      <c r="Z2497" s="204" t="str">
        <f>'Reported burning'!AB2497</f>
        <v>ND</v>
      </c>
      <c r="AA2497" s="204"/>
      <c r="AB2497" s="204"/>
    </row>
    <row r="2498" spans="1:28" s="203" customFormat="1" ht="47.5" customHeight="1">
      <c r="A2498" s="156" t="str">
        <f>'Reported burning'!A2498</f>
        <v>290a</v>
      </c>
      <c r="B2498" s="156" t="str">
        <f>'Reported burning'!B2498</f>
        <v>290a.2</v>
      </c>
      <c r="C2498" s="156" t="str">
        <f>'Reported burning'!C2498</f>
        <v>All</v>
      </c>
      <c r="D2498" s="156" t="str">
        <f>'Reported burning'!D2498</f>
        <v>ND</v>
      </c>
      <c r="E2498" s="156" t="str">
        <f>'Reported burning'!E2498</f>
        <v>Forestry, Industrial</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2276</v>
      </c>
      <c r="X2498" s="204" t="str">
        <f>'Reported burning'!Z2498</f>
        <v>ND</v>
      </c>
      <c r="Y2498" s="204" t="str">
        <f>'Reported burning'!AA2498</f>
        <v>ND</v>
      </c>
      <c r="Z2498" s="204" t="str">
        <f>'Reported burning'!AB2498</f>
        <v>ND</v>
      </c>
      <c r="AA2498" s="204"/>
      <c r="AB2498" s="204"/>
    </row>
    <row r="2499" spans="1:28" ht="47.5" customHeight="1">
      <c r="A2499" s="156" t="str">
        <f>'Reported burning'!A2499</f>
        <v>290a</v>
      </c>
      <c r="B2499" s="156" t="str">
        <f>'Reported burning'!B2499</f>
        <v>290a.3</v>
      </c>
      <c r="C2499" s="156" t="str">
        <f>'Reported burning'!C2499</f>
        <v>All</v>
      </c>
      <c r="D2499" s="156" t="str">
        <f>'Reported burning'!D2499</f>
        <v>ND</v>
      </c>
      <c r="E2499" s="156" t="str">
        <f>'Reported burning'!E2499</f>
        <v>Forestry, Industrial</v>
      </c>
      <c r="F2499" s="156" t="str">
        <f>'Reported burning'!F2499</f>
        <v>Forest</v>
      </c>
      <c r="G2499" s="156" t="str">
        <f>'Reported burning'!G2499</f>
        <v>Forest</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ND</v>
      </c>
      <c r="Y2499" s="204" t="str">
        <f>'Reported burning'!AA2499</f>
        <v>ND</v>
      </c>
      <c r="Z2499" s="204" t="str">
        <f>'Reported burning'!AB2499</f>
        <v>ND</v>
      </c>
      <c r="AA2499" s="204"/>
      <c r="AB2499" s="204"/>
    </row>
    <row r="2500" spans="1:28" ht="47.5" customHeight="1">
      <c r="A2500" s="156" t="str">
        <f>'Reported burning'!A2500</f>
        <v>291a</v>
      </c>
      <c r="B2500" s="156" t="str">
        <f>'Reported burning'!B2500</f>
        <v>291a.1</v>
      </c>
      <c r="C2500" s="156" t="str">
        <f>'Reported burning'!C2500</f>
        <v>Human, deliberate</v>
      </c>
      <c r="D2500" s="156" t="str">
        <f>'Reported burning'!D2500</f>
        <v>Pyrome management</v>
      </c>
      <c r="E2500" s="156" t="str">
        <f>'Reported burning'!E2500</f>
        <v>Forestry, Industrial</v>
      </c>
      <c r="F2500" s="156" t="str">
        <f>'Reported burning'!F2500</f>
        <v>Forest</v>
      </c>
      <c r="G2500" s="156" t="str">
        <f>'Reported burning'!G2500</f>
        <v>Forest</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June</v>
      </c>
      <c r="Y2500" s="204" t="str">
        <f>'Reported burning'!AA2500</f>
        <v>August</v>
      </c>
      <c r="Z2500" s="204" t="str">
        <f>'Reported burning'!AB2500</f>
        <v>Seasonal, Consistent</v>
      </c>
      <c r="AA2500" s="204"/>
      <c r="AB2500" s="204"/>
    </row>
    <row r="2501" spans="1:28" ht="47.5" customHeight="1">
      <c r="A2501" s="156" t="str">
        <f>'Reported burning'!A2501</f>
        <v>292a</v>
      </c>
      <c r="B2501" s="156" t="str">
        <f>'Reported burning'!B2501</f>
        <v>292a.1</v>
      </c>
      <c r="C2501" s="156" t="str">
        <f>'Reported burning'!C2501</f>
        <v>Human, deliberate</v>
      </c>
      <c r="D2501" s="156" t="str">
        <f>'Reported burning'!D2501</f>
        <v>Pyrome management</v>
      </c>
      <c r="E2501" s="156" t="str">
        <f>'Reported burning'!E2501</f>
        <v>Forestry, Industrial</v>
      </c>
      <c r="F2501" s="156" t="str">
        <f>'Reported burning'!F2501</f>
        <v>Forest</v>
      </c>
      <c r="G2501" s="156" t="str">
        <f>'Reported burning'!G2501</f>
        <v>Forest</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292a</v>
      </c>
      <c r="B2502" s="156" t="str">
        <f>'Reported burning'!B2502</f>
        <v>292a.2</v>
      </c>
      <c r="C2502" s="156" t="str">
        <f>'Reported burning'!C2502</f>
        <v>Lightning</v>
      </c>
      <c r="D2502" s="156" t="str">
        <f>'Reported burning'!D2502</f>
        <v>ND</v>
      </c>
      <c r="E2502" s="156" t="str">
        <f>'Reported burning'!E2502</f>
        <v>Forestry, Industrial</v>
      </c>
      <c r="F2502" s="156" t="str">
        <f>'Reported burning'!F2502</f>
        <v>Forest</v>
      </c>
      <c r="G2502" s="156" t="str">
        <f>'Reported burning'!G2502</f>
        <v>Forest</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294a</v>
      </c>
      <c r="B2503" s="156" t="str">
        <f>'Reported burning'!B2503</f>
        <v>294a.1</v>
      </c>
      <c r="C2503" s="156" t="str">
        <f>'Reported burning'!C2503</f>
        <v>Human, deliberate</v>
      </c>
      <c r="D2503" s="156" t="str">
        <f>'Reported burning'!D2503</f>
        <v>Pasture renewal</v>
      </c>
      <c r="E2503" s="156" t="str">
        <f>'Reported burning'!E2503</f>
        <v>Cattle, Extensive</v>
      </c>
      <c r="F2503" s="156" t="str">
        <f>'Reported burning'!F2503</f>
        <v>Pasture</v>
      </c>
      <c r="G2503" s="156" t="str">
        <f>'Reported burning'!G2503</f>
        <v>Pasture</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2389</v>
      </c>
      <c r="U2503" s="21" t="s">
        <v>2276</v>
      </c>
      <c r="V2503" s="21" t="s">
        <v>2276</v>
      </c>
      <c r="W2503" s="21" t="s">
        <v>2402</v>
      </c>
      <c r="X2503" s="204" t="s">
        <v>405</v>
      </c>
      <c r="Y2503" s="204" t="s">
        <v>425</v>
      </c>
      <c r="Z2503" s="4" t="s">
        <v>64</v>
      </c>
      <c r="AA2503" s="204"/>
      <c r="AB2503" s="4" t="s">
        <v>7005</v>
      </c>
    </row>
    <row r="2504" spans="1:28" ht="47.5" customHeight="1">
      <c r="A2504" s="156" t="str">
        <f>'Reported burning'!A2504</f>
        <v>294a</v>
      </c>
      <c r="B2504" s="156" t="str">
        <f>'Reported burning'!B2504</f>
        <v>294a.2</v>
      </c>
      <c r="C2504" s="156" t="str">
        <f>'Reported burning'!C2504</f>
        <v>Human, deliberate</v>
      </c>
      <c r="D2504" s="156" t="str">
        <f>'Reported burning'!D2504</f>
        <v>Pasture renewal</v>
      </c>
      <c r="E2504" s="156" t="str">
        <f>'Reported burning'!E2504</f>
        <v>Cattle, Intensive</v>
      </c>
      <c r="F2504" s="156" t="str">
        <f>'Reported burning'!F2504</f>
        <v>Pasture</v>
      </c>
      <c r="G2504" s="156" t="str">
        <f>'Reported burning'!G2504</f>
        <v>Pasture</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2527</v>
      </c>
      <c r="U2504" s="21" t="s">
        <v>2276</v>
      </c>
      <c r="V2504" s="21" t="s">
        <v>2276</v>
      </c>
      <c r="W2504" s="21" t="s">
        <v>2276</v>
      </c>
      <c r="X2504" s="204" t="s">
        <v>405</v>
      </c>
      <c r="Y2504" s="204" t="s">
        <v>425</v>
      </c>
      <c r="Z2504" s="4" t="s">
        <v>64</v>
      </c>
      <c r="AA2504" s="204"/>
      <c r="AB2504" s="4"/>
    </row>
    <row r="2505" spans="1:28" ht="123.5" customHeight="1">
      <c r="A2505" s="156" t="str">
        <f>'Reported burning'!A2505</f>
        <v>294a</v>
      </c>
      <c r="B2505" s="156" t="str">
        <f>'Reported burning'!B2505</f>
        <v>294a.3</v>
      </c>
      <c r="C2505" s="156" t="str">
        <f>'Reported burning'!C2505</f>
        <v>Human, escaped</v>
      </c>
      <c r="D2505" s="156" t="str">
        <f>'Reported burning'!D2505</f>
        <v>Pasture renewal</v>
      </c>
      <c r="E2505" s="156" t="str">
        <f>'Reported burning'!E2505</f>
        <v>Cattle, Extensive</v>
      </c>
      <c r="F2505" s="156" t="str">
        <f>'Reported burning'!F2505</f>
        <v>Pasture</v>
      </c>
      <c r="G2505" s="156" t="str">
        <f>'Reported burning'!G2505</f>
        <v>Secondary vegetation</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2527</v>
      </c>
      <c r="U2505" s="21" t="s">
        <v>2276</v>
      </c>
      <c r="V2505" s="21" t="s">
        <v>2276</v>
      </c>
      <c r="W2505" s="21" t="s">
        <v>2403</v>
      </c>
      <c r="X2505" s="204" t="s">
        <v>405</v>
      </c>
      <c r="Y2505" s="204" t="s">
        <v>425</v>
      </c>
      <c r="Z2505" s="4" t="s">
        <v>64</v>
      </c>
      <c r="AA2505" s="4" t="s">
        <v>7007</v>
      </c>
      <c r="AB2505" s="4" t="s">
        <v>7006</v>
      </c>
    </row>
    <row r="2506" spans="1:28" ht="33" customHeight="1">
      <c r="A2506" s="156" t="str">
        <f>'Reported burning'!A2506</f>
        <v>294a</v>
      </c>
      <c r="B2506" s="156" t="str">
        <f>'Reported burning'!B2506</f>
        <v>294a.4</v>
      </c>
      <c r="C2506" s="156" t="str">
        <f>'Reported burning'!C2506</f>
        <v>Human, escaped</v>
      </c>
      <c r="D2506" s="156" t="str">
        <f>'Reported burning'!D2506</f>
        <v>Pasture renewal</v>
      </c>
      <c r="E2506" s="156" t="str">
        <f>'Reported burning'!E2506</f>
        <v>Cattle, Intensive</v>
      </c>
      <c r="F2506" s="156" t="str">
        <f>'Reported burning'!F2506</f>
        <v>Pasture</v>
      </c>
      <c r="G2506" s="156" t="str">
        <f>'Reported burning'!G2506</f>
        <v>Secondary vegetation</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2527</v>
      </c>
      <c r="U2506" s="21" t="s">
        <v>2276</v>
      </c>
      <c r="V2506" s="21" t="s">
        <v>2276</v>
      </c>
      <c r="W2506" s="21" t="s">
        <v>2276</v>
      </c>
      <c r="X2506" s="204" t="s">
        <v>405</v>
      </c>
      <c r="Y2506" s="204" t="s">
        <v>425</v>
      </c>
      <c r="Z2506" s="4" t="s">
        <v>64</v>
      </c>
      <c r="AA2506" s="204"/>
      <c r="AB2506" s="204"/>
    </row>
    <row r="2507" spans="1:28" ht="78.5" customHeight="1">
      <c r="A2507" s="156" t="str">
        <f>'Reported burning'!A2507</f>
        <v>295a</v>
      </c>
      <c r="B2507" s="156" t="str">
        <f>'Reported burning'!B2507</f>
        <v>295a.1</v>
      </c>
      <c r="C2507" s="156" t="str">
        <f>'Reported burning'!C2507</f>
        <v>Human, deliberate</v>
      </c>
      <c r="D2507" s="156" t="str">
        <f>'Reported burning'!D2507</f>
        <v>Land clearance</v>
      </c>
      <c r="E2507" s="156" t="str">
        <f>'Reported burning'!E2507</f>
        <v>Cropping, Intensive</v>
      </c>
      <c r="F2507" s="156" t="str">
        <f>'Reported burning'!F2507</f>
        <v>Shrubland (Mixed forest &amp; grassland)</v>
      </c>
      <c r="G2507" s="156" t="str">
        <f>'Reported burning'!G2507</f>
        <v>Shrubland (Mixed forest &amp; grassland)</v>
      </c>
      <c r="H2507" s="156" t="str">
        <f>'Reported burning'!H2507</f>
        <v>Presence</v>
      </c>
      <c r="I2507" s="5"/>
      <c r="J2507" s="21"/>
      <c r="K2507" s="103"/>
      <c r="L2507" s="177"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1" t="s">
        <v>2276</v>
      </c>
      <c r="Y2507" s="21" t="s">
        <v>2276</v>
      </c>
      <c r="Z2507" s="21" t="s">
        <v>2276</v>
      </c>
      <c r="AA2507" s="204"/>
      <c r="AB2507" s="204"/>
    </row>
    <row r="2508" spans="1:28" ht="46.5" customHeight="1">
      <c r="A2508" s="156" t="str">
        <f>'Reported burning'!A2508</f>
        <v>295a</v>
      </c>
      <c r="B2508" s="156" t="str">
        <f>'Reported burning'!B2508</f>
        <v>295a.2</v>
      </c>
      <c r="C2508" s="156" t="str">
        <f>'Reported burning'!C2508</f>
        <v>Human, deliberate</v>
      </c>
      <c r="D2508" s="156" t="str">
        <f>'Reported burning'!D2508</f>
        <v>Pasture renewal</v>
      </c>
      <c r="E2508" s="156" t="str">
        <f>'Reported burning'!E2508</f>
        <v>Cattle, Extensive</v>
      </c>
      <c r="F2508" s="156" t="str">
        <f>'Reported burning'!F2508</f>
        <v>Pasture</v>
      </c>
      <c r="G2508" s="156" t="str">
        <f>'Reported burning'!G2508</f>
        <v>Pasture</v>
      </c>
      <c r="H2508" s="156" t="str">
        <f>'Reported burning'!H2508</f>
        <v>Presence</v>
      </c>
      <c r="I2508" s="5"/>
      <c r="J2508" s="21"/>
      <c r="K2508" s="103"/>
      <c r="L2508" s="177" t="s">
        <v>2276</v>
      </c>
      <c r="M2508" s="21" t="s">
        <v>2276</v>
      </c>
      <c r="N2508" s="21" t="s">
        <v>2276</v>
      </c>
      <c r="O2508" s="21" t="s">
        <v>2276</v>
      </c>
      <c r="P2508" s="21" t="s">
        <v>2276</v>
      </c>
      <c r="Q2508" s="21" t="s">
        <v>2276</v>
      </c>
      <c r="R2508" s="21" t="s">
        <v>2276</v>
      </c>
      <c r="S2508" s="21" t="s">
        <v>2276</v>
      </c>
      <c r="T2508" s="14" t="s">
        <v>2376</v>
      </c>
      <c r="U2508" s="21" t="s">
        <v>2276</v>
      </c>
      <c r="V2508" s="21" t="s">
        <v>2276</v>
      </c>
      <c r="W2508" s="21" t="s">
        <v>2276</v>
      </c>
      <c r="X2508" s="21" t="s">
        <v>2276</v>
      </c>
      <c r="Y2508" s="21" t="s">
        <v>2276</v>
      </c>
      <c r="Z2508" s="21" t="s">
        <v>2276</v>
      </c>
      <c r="AA2508" s="204"/>
      <c r="AB2508" s="204"/>
    </row>
    <row r="2509" spans="1:28" ht="40" customHeight="1">
      <c r="A2509" s="156" t="str">
        <f>'Reported burning'!A2509</f>
        <v>295a</v>
      </c>
      <c r="B2509" s="156" t="str">
        <f>'Reported burning'!B2509</f>
        <v>295a.2</v>
      </c>
      <c r="C2509" s="156" t="str">
        <f>'Reported burning'!C2509</f>
        <v>Human, escaped</v>
      </c>
      <c r="D2509" s="156" t="str">
        <f>'Reported burning'!D2509</f>
        <v>Pasture renewal</v>
      </c>
      <c r="E2509" s="156" t="str">
        <f>'Reported burning'!E2509</f>
        <v>Cattle, Intensive</v>
      </c>
      <c r="F2509" s="156" t="str">
        <f>'Reported burning'!F2509</f>
        <v>Pasture</v>
      </c>
      <c r="G2509" s="156" t="str">
        <f>'Reported burning'!G2509</f>
        <v>Forest</v>
      </c>
      <c r="H2509" s="156" t="str">
        <f>'Reported burning'!H2509</f>
        <v>Presence</v>
      </c>
      <c r="I2509" s="5"/>
      <c r="J2509" s="21"/>
      <c r="K2509" s="103"/>
      <c r="L2509" s="177"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1" t="s">
        <v>2276</v>
      </c>
      <c r="Y2509" s="21" t="s">
        <v>2276</v>
      </c>
      <c r="Z2509" s="21" t="s">
        <v>2276</v>
      </c>
      <c r="AA2509" s="204"/>
      <c r="AB2509" s="204"/>
    </row>
    <row r="2510" spans="1:28" ht="40" customHeight="1">
      <c r="A2510" s="156" t="str">
        <f>'Reported burning'!A2510</f>
        <v>296a</v>
      </c>
      <c r="B2510" s="156" t="str">
        <f>'Reported burning'!B2510</f>
        <v>296a.1</v>
      </c>
      <c r="C2510" s="156" t="str">
        <f>'Reported burning'!C2510</f>
        <v>Human, deliberate</v>
      </c>
      <c r="D2510" s="156" t="str">
        <f>'Reported burning'!D2510</f>
        <v>Forest clearance</v>
      </c>
      <c r="E2510" s="156" t="str">
        <f>'Reported burning'!E2510</f>
        <v>Cattle, Extensive</v>
      </c>
      <c r="F2510" s="156" t="str">
        <f>'Reported burning'!F2510</f>
        <v>Forest</v>
      </c>
      <c r="G2510" s="156" t="str">
        <f>'Reported burning'!G2510</f>
        <v>Forest</v>
      </c>
      <c r="H2510" s="156" t="str">
        <f>'Reported burning'!H2510</f>
        <v>Presence</v>
      </c>
      <c r="I2510" s="5"/>
      <c r="J2510" s="21"/>
      <c r="K2510" s="103"/>
      <c r="L2510" s="177" t="s">
        <v>2276</v>
      </c>
      <c r="M2510" s="21" t="s">
        <v>2381</v>
      </c>
      <c r="N2510" s="21" t="s">
        <v>2276</v>
      </c>
      <c r="O2510" s="21" t="s">
        <v>2276</v>
      </c>
      <c r="P2510" s="21" t="s">
        <v>2276</v>
      </c>
      <c r="Q2510" s="21" t="s">
        <v>2276</v>
      </c>
      <c r="R2510" s="21" t="s">
        <v>2276</v>
      </c>
      <c r="S2510" s="21" t="s">
        <v>2276</v>
      </c>
      <c r="T2510" s="21" t="s">
        <v>2276</v>
      </c>
      <c r="U2510" s="21" t="s">
        <v>2276</v>
      </c>
      <c r="V2510" s="21" t="s">
        <v>2276</v>
      </c>
      <c r="W2510" s="21" t="s">
        <v>2276</v>
      </c>
      <c r="X2510" s="21" t="s">
        <v>2276</v>
      </c>
      <c r="Y2510" s="21" t="s">
        <v>2276</v>
      </c>
      <c r="Z2510" s="21" t="s">
        <v>2276</v>
      </c>
      <c r="AA2510" s="4" t="s">
        <v>7023</v>
      </c>
      <c r="AB2510" s="4" t="s">
        <v>7028</v>
      </c>
    </row>
    <row r="2511" spans="1:28" ht="40" customHeight="1">
      <c r="A2511" s="156" t="str">
        <f>'Reported burning'!A2511</f>
        <v>296a</v>
      </c>
      <c r="B2511" s="156" t="str">
        <f>'Reported burning'!B2511</f>
        <v>296a.2</v>
      </c>
      <c r="C2511" s="156" t="str">
        <f>'Reported burning'!C2511</f>
        <v>Human, deliberate</v>
      </c>
      <c r="D2511" s="156" t="str">
        <f>'Reported burning'!D2511</f>
        <v>Forest clearance</v>
      </c>
      <c r="E2511" s="156" t="str">
        <f>'Reported burning'!E2511</f>
        <v>Cropping, Intensive</v>
      </c>
      <c r="F2511" s="156" t="str">
        <f>'Reported burning'!F2511</f>
        <v>Forest</v>
      </c>
      <c r="G2511" s="156" t="str">
        <f>'Reported burning'!G2511</f>
        <v>Forest</v>
      </c>
      <c r="H2511" s="156" t="str">
        <f>'Reported burning'!H2511</f>
        <v>Presence</v>
      </c>
      <c r="I2511" s="5"/>
      <c r="J2511" s="21"/>
      <c r="K2511" s="103"/>
      <c r="L2511" s="177" t="s">
        <v>2276</v>
      </c>
      <c r="M2511" s="177" t="s">
        <v>2276</v>
      </c>
      <c r="N2511" s="21" t="s">
        <v>2276</v>
      </c>
      <c r="O2511" s="21" t="s">
        <v>2276</v>
      </c>
      <c r="P2511" s="21" t="s">
        <v>2377</v>
      </c>
      <c r="Q2511" s="21" t="s">
        <v>2276</v>
      </c>
      <c r="R2511" s="21" t="s">
        <v>2376</v>
      </c>
      <c r="S2511" s="21" t="s">
        <v>2276</v>
      </c>
      <c r="T2511" s="21" t="s">
        <v>2276</v>
      </c>
      <c r="U2511" s="21" t="s">
        <v>2276</v>
      </c>
      <c r="V2511" s="21" t="s">
        <v>2276</v>
      </c>
      <c r="W2511" s="21" t="s">
        <v>2276</v>
      </c>
      <c r="X2511" s="21" t="s">
        <v>2276</v>
      </c>
      <c r="Y2511" s="21" t="s">
        <v>2276</v>
      </c>
      <c r="Z2511" s="21" t="s">
        <v>2276</v>
      </c>
      <c r="AA2511" s="4" t="s">
        <v>7023</v>
      </c>
      <c r="AB2511" s="4" t="s">
        <v>7022</v>
      </c>
    </row>
    <row r="2512" spans="1:28" ht="61" customHeight="1">
      <c r="A2512" s="156" t="str">
        <f>'Reported burning'!A2512</f>
        <v>297a</v>
      </c>
      <c r="B2512" s="156" t="str">
        <f>'Reported burning'!B2512</f>
        <v>297a.1</v>
      </c>
      <c r="C2512" s="156" t="str">
        <f>'Reported burning'!C2512</f>
        <v>Human, deliberate</v>
      </c>
      <c r="D2512" s="156" t="str">
        <f>'Reported burning'!D2512</f>
        <v>Conservation</v>
      </c>
      <c r="E2512" s="156" t="str">
        <f>'Reported burning'!E2512</f>
        <v>Biodiversity conservation</v>
      </c>
      <c r="F2512" s="156" t="str">
        <f>'Reported burning'!F2512</f>
        <v>Grassland</v>
      </c>
      <c r="G2512" s="156" t="str">
        <f>'Reported burning'!G2512</f>
        <v>Grassland</v>
      </c>
      <c r="H2512" s="156" t="str">
        <f>'Reported burning'!H2512</f>
        <v>Presence</v>
      </c>
      <c r="I2512" s="5"/>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c r="AB2512" s="204"/>
    </row>
    <row r="2513" spans="1:28" ht="61" customHeight="1">
      <c r="A2513" s="156" t="str">
        <f>'Reported burning'!A2513</f>
        <v>297a</v>
      </c>
      <c r="B2513" s="156" t="str">
        <f>'Reported burning'!B2513</f>
        <v>297a.2</v>
      </c>
      <c r="C2513" s="156" t="str">
        <f>'Reported burning'!C2513</f>
        <v>Human, deliberate</v>
      </c>
      <c r="D2513" s="156" t="str">
        <f>'Reported burning'!D2513</f>
        <v>Conservation</v>
      </c>
      <c r="E2513" s="156" t="str">
        <f>'Reported burning'!E2513</f>
        <v>Cattle, Intensive</v>
      </c>
      <c r="F2513" s="156" t="str">
        <f>'Reported burning'!F2513</f>
        <v>Grassland</v>
      </c>
      <c r="G2513" s="156" t="str">
        <f>'Reported burning'!G2513</f>
        <v>Grassland</v>
      </c>
      <c r="H2513" s="156" t="str">
        <f>'Reported burning'!H2513</f>
        <v>Absence</v>
      </c>
      <c r="I2513" s="5"/>
      <c r="J2513" s="21">
        <v>0</v>
      </c>
      <c r="K2513" s="21">
        <v>0</v>
      </c>
      <c r="L2513" s="21">
        <v>0</v>
      </c>
      <c r="M2513" s="21">
        <v>0</v>
      </c>
      <c r="N2513" s="21">
        <v>0</v>
      </c>
      <c r="O2513" s="21">
        <v>0</v>
      </c>
      <c r="P2513" s="21">
        <v>0</v>
      </c>
      <c r="Q2513" s="21">
        <v>0</v>
      </c>
      <c r="R2513" s="21">
        <v>0</v>
      </c>
      <c r="S2513" s="21">
        <v>0</v>
      </c>
      <c r="T2513" s="21">
        <v>0</v>
      </c>
      <c r="U2513" s="21">
        <v>0</v>
      </c>
      <c r="V2513" s="21">
        <v>0</v>
      </c>
      <c r="W2513" s="204" t="s">
        <v>2276</v>
      </c>
      <c r="X2513" s="204" t="s">
        <v>2276</v>
      </c>
      <c r="Y2513" s="204" t="s">
        <v>2276</v>
      </c>
      <c r="Z2513" s="204" t="s">
        <v>2276</v>
      </c>
      <c r="AA2513" s="4" t="s">
        <v>7033</v>
      </c>
      <c r="AB2513" s="204"/>
    </row>
    <row r="2514" spans="1:28" ht="30.5" customHeight="1">
      <c r="A2514" s="156" t="str">
        <f>'Reported burning'!A2514</f>
        <v>297a</v>
      </c>
      <c r="B2514" s="156" t="str">
        <f>'Reported burning'!B2514</f>
        <v>297a.3</v>
      </c>
      <c r="C2514" s="156" t="str">
        <f>'Reported burning'!C2514</f>
        <v>Human, deliberate</v>
      </c>
      <c r="D2514" s="156" t="str">
        <f>'Reported burning'!D2514</f>
        <v>Pasture renewal</v>
      </c>
      <c r="E2514" s="156" t="str">
        <f>'Reported burning'!E2514</f>
        <v>Cattle, Intensive</v>
      </c>
      <c r="F2514" s="156" t="str">
        <f>'Reported burning'!F2514</f>
        <v>Grassland</v>
      </c>
      <c r="G2514" s="156" t="str">
        <f>'Reported burning'!G2514</f>
        <v>Grassland</v>
      </c>
      <c r="H2514" s="156" t="str">
        <f>'Reported burning'!H2514</f>
        <v>Absence</v>
      </c>
      <c r="I2514" s="5"/>
      <c r="J2514" s="21">
        <v>0</v>
      </c>
      <c r="K2514" s="21">
        <v>0</v>
      </c>
      <c r="L2514" s="21">
        <v>0</v>
      </c>
      <c r="M2514" s="21">
        <v>0</v>
      </c>
      <c r="N2514" s="21">
        <v>0</v>
      </c>
      <c r="O2514" s="21">
        <v>0</v>
      </c>
      <c r="P2514" s="21">
        <v>0</v>
      </c>
      <c r="Q2514" s="21">
        <v>0</v>
      </c>
      <c r="R2514" s="21">
        <v>0</v>
      </c>
      <c r="S2514" s="21">
        <v>0</v>
      </c>
      <c r="T2514" s="21">
        <v>0</v>
      </c>
      <c r="U2514" s="21">
        <v>0</v>
      </c>
      <c r="V2514" s="21">
        <v>0</v>
      </c>
      <c r="W2514" s="204" t="s">
        <v>2276</v>
      </c>
      <c r="X2514" s="204" t="s">
        <v>2276</v>
      </c>
      <c r="Y2514" s="204" t="s">
        <v>2276</v>
      </c>
      <c r="Z2514" s="204" t="s">
        <v>2276</v>
      </c>
      <c r="AA2514" s="4" t="s">
        <v>7033</v>
      </c>
      <c r="AB2514" s="204"/>
    </row>
    <row r="2515" spans="1:28" ht="78.5" customHeight="1">
      <c r="A2515" s="152" t="str">
        <f>'Reported burning'!A2515</f>
        <v>298a</v>
      </c>
      <c r="B2515" s="152" t="str">
        <f>'Reported burning'!B2515</f>
        <v>298a.1</v>
      </c>
      <c r="C2515" s="152" t="str">
        <f>'Reported burning'!C2515</f>
        <v>Human, deliberate</v>
      </c>
      <c r="D2515" s="152" t="str">
        <f>'Reported burning'!D2515</f>
        <v>Pasture renewal</v>
      </c>
      <c r="E2515" s="152" t="str">
        <f>'Reported burning'!E2515</f>
        <v>Cattle, Extensive</v>
      </c>
      <c r="F2515" s="152" t="str">
        <f>'Reported burning'!F2515</f>
        <v>Grassland</v>
      </c>
      <c r="G2515" s="152" t="str">
        <f>'Reported burning'!G2515</f>
        <v>Grassland</v>
      </c>
      <c r="H2515" s="152" t="str">
        <f>'Reported burning'!H2515</f>
        <v>Presence</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04" t="s">
        <v>2276</v>
      </c>
      <c r="W2515" s="204" t="s">
        <v>2276</v>
      </c>
      <c r="X2515" s="204" t="s">
        <v>404</v>
      </c>
      <c r="Y2515" s="204" t="s">
        <v>405</v>
      </c>
      <c r="Z2515" s="204" t="s">
        <v>2276</v>
      </c>
      <c r="AA2515" s="204" t="s">
        <v>7038</v>
      </c>
      <c r="AB2515" s="4" t="s">
        <v>7039</v>
      </c>
    </row>
    <row r="2516" spans="1:28" ht="78.5" customHeight="1">
      <c r="A2516" s="152" t="str">
        <f>'Reported burning'!A2516</f>
        <v>299a</v>
      </c>
      <c r="B2516" s="152" t="str">
        <f>'Reported burning'!B2516</f>
        <v>299a.1</v>
      </c>
      <c r="C2516" s="152" t="str">
        <f>'Reported burning'!C2516</f>
        <v>Human, deliberate</v>
      </c>
      <c r="D2516" s="152" t="str">
        <f>'Reported burning'!D2516</f>
        <v>Rangeland management</v>
      </c>
      <c r="E2516" s="152" t="str">
        <f>'Reported burning'!E2516</f>
        <v>Cattle, Extensive</v>
      </c>
      <c r="F2516" s="152" t="str">
        <f>'Reported burning'!F2516</f>
        <v>Shrubland (Mixed forest &amp; grassland)</v>
      </c>
      <c r="G2516" s="152" t="str">
        <f>'Reported burning'!G2516</f>
        <v>Shrubland (Mixed forest &amp; grassland)</v>
      </c>
      <c r="H2516" s="152" t="str">
        <f>'Reported burning'!H2516</f>
        <v>Presence</v>
      </c>
      <c r="I2516" s="204"/>
      <c r="J2516" s="204" t="s">
        <v>2276</v>
      </c>
      <c r="K2516" s="204" t="s">
        <v>2276</v>
      </c>
      <c r="L2516" s="204" t="s">
        <v>2276</v>
      </c>
      <c r="M2516" s="204" t="s">
        <v>2276</v>
      </c>
      <c r="N2516" s="204" t="s">
        <v>2276</v>
      </c>
      <c r="O2516" s="204" t="s">
        <v>2276</v>
      </c>
      <c r="P2516" s="204" t="s">
        <v>2276</v>
      </c>
      <c r="Q2516" s="204" t="s">
        <v>2276</v>
      </c>
      <c r="R2516" s="204" t="s">
        <v>2276</v>
      </c>
      <c r="S2516" s="204" t="s">
        <v>2276</v>
      </c>
      <c r="T2516" s="204" t="s">
        <v>2276</v>
      </c>
      <c r="U2516" s="204" t="s">
        <v>2276</v>
      </c>
      <c r="V2516" s="204" t="s">
        <v>2276</v>
      </c>
      <c r="W2516" s="21" t="s">
        <v>2401</v>
      </c>
      <c r="X2516" s="204" t="s">
        <v>2276</v>
      </c>
      <c r="Y2516" s="204" t="s">
        <v>2276</v>
      </c>
      <c r="Z2516" s="204" t="s">
        <v>2276</v>
      </c>
      <c r="AA2516" s="204"/>
      <c r="AB2516" s="4" t="s">
        <v>7045</v>
      </c>
    </row>
    <row r="2517" spans="1:28" ht="31" customHeight="1">
      <c r="A2517" s="152" t="str">
        <f>'Reported burning'!A2517</f>
        <v>300a</v>
      </c>
      <c r="B2517" s="152" t="str">
        <f>'Reported burning'!B2517</f>
        <v>300a.1</v>
      </c>
      <c r="C2517" s="152" t="str">
        <f>'Reported burning'!C2517</f>
        <v>All</v>
      </c>
      <c r="D2517" s="152" t="str">
        <f>'Reported burning'!D2517</f>
        <v>All</v>
      </c>
      <c r="E2517" s="152" t="str">
        <f>'Reported burning'!E2517</f>
        <v>All</v>
      </c>
      <c r="F2517" s="152" t="str">
        <f>'Reported burning'!F2517</f>
        <v>ND</v>
      </c>
      <c r="G2517" s="152" t="str">
        <f>'Reported burning'!G2517</f>
        <v>Shrubland (Mixed forest &amp; grassland)</v>
      </c>
      <c r="H2517" s="152" t="str">
        <f>'Reported burning'!H2517</f>
        <v>Presence</v>
      </c>
      <c r="I2517" s="20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2390</v>
      </c>
      <c r="W2517" s="21" t="s">
        <v>2375</v>
      </c>
      <c r="X2517" s="204" t="s">
        <v>38</v>
      </c>
      <c r="Y2517" s="204" t="s">
        <v>425</v>
      </c>
      <c r="Z2517" s="204" t="s">
        <v>76</v>
      </c>
      <c r="AA2517" s="4" t="s">
        <v>7054</v>
      </c>
      <c r="AB2517" s="19" t="s">
        <v>7057</v>
      </c>
    </row>
    <row r="2518" spans="1:28" ht="118" customHeight="1">
      <c r="A2518" s="152" t="str">
        <f>'Reported burning'!A2518</f>
        <v>300b</v>
      </c>
      <c r="B2518" s="152" t="str">
        <f>'Reported burning'!B2518</f>
        <v>300a.2</v>
      </c>
      <c r="C2518" s="152" t="str">
        <f>'Reported burning'!C2518</f>
        <v>Human, deliberate</v>
      </c>
      <c r="D2518" s="152" t="str">
        <f>'Reported burning'!D2518</f>
        <v>Pasture renewal</v>
      </c>
      <c r="E2518" s="152" t="str">
        <f>'Reported burning'!E2518</f>
        <v>Cattle, Extensive</v>
      </c>
      <c r="F2518" s="152" t="str">
        <f>'Reported burning'!F2518</f>
        <v>Pasture</v>
      </c>
      <c r="G2518" s="152" t="str">
        <f>'Reported burning'!G2518</f>
        <v>Pasture</v>
      </c>
      <c r="H2518" s="152" t="str">
        <f>'Reported burning'!H2518</f>
        <v>Presence</v>
      </c>
      <c r="I2518" s="20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2401</v>
      </c>
      <c r="X2518" s="204" t="s">
        <v>38</v>
      </c>
      <c r="Y2518" s="204" t="s">
        <v>425</v>
      </c>
      <c r="Z2518" s="204" t="s">
        <v>2276</v>
      </c>
      <c r="AA2518" s="4" t="s">
        <v>7055</v>
      </c>
      <c r="AB2518" s="4" t="s">
        <v>7058</v>
      </c>
    </row>
    <row r="2519" spans="1:28" ht="83" customHeight="1">
      <c r="A2519" s="152" t="str">
        <f>'Reported burning'!A2519</f>
        <v>300b</v>
      </c>
      <c r="B2519" s="152" t="str">
        <f>'Reported burning'!B2519</f>
        <v>300a.3</v>
      </c>
      <c r="C2519" s="152" t="str">
        <f>'Reported burning'!C2519</f>
        <v>Human, deliberate</v>
      </c>
      <c r="D2519" s="152" t="str">
        <f>'Reported burning'!D2519</f>
        <v>Pyrome management</v>
      </c>
      <c r="E2519" s="152" t="str">
        <f>'Reported burning'!E2519</f>
        <v>Cattle, Extensive</v>
      </c>
      <c r="F2519" s="152" t="str">
        <f>'Reported burning'!F2519</f>
        <v>Shrubland (Mixed forest &amp; grassland)</v>
      </c>
      <c r="G2519" s="152" t="str">
        <f>'Reported burning'!G2519</f>
        <v>Shrubland (Mixed forest &amp; grassland)</v>
      </c>
      <c r="H2519" s="152" t="str">
        <f>'Reported burning'!H2519</f>
        <v>Presence</v>
      </c>
      <c r="I2519" s="20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4" t="s">
        <v>38</v>
      </c>
      <c r="Y2519" s="204" t="s">
        <v>86</v>
      </c>
      <c r="Z2519" s="204" t="s">
        <v>2655</v>
      </c>
      <c r="AA2519" s="4" t="s">
        <v>7056</v>
      </c>
      <c r="AB2519" s="204"/>
    </row>
    <row r="2520" spans="1:28" ht="51" customHeight="1">
      <c r="A2520" s="156" t="str">
        <f>'Reported burning'!A2520</f>
        <v>301a</v>
      </c>
      <c r="B2520" s="156" t="str">
        <f>'Reported burning'!B2520</f>
        <v>301a.1</v>
      </c>
      <c r="C2520" s="156" t="str">
        <f>'Reported burning'!C2520</f>
        <v>Human, deliberate</v>
      </c>
      <c r="D2520" s="156" t="str">
        <f>'Reported burning'!D2520</f>
        <v>Pasture renewal</v>
      </c>
      <c r="E2520" s="156" t="str">
        <f>'Reported burning'!E2520</f>
        <v>Cattle, Extensive</v>
      </c>
      <c r="F2520" s="156" t="str">
        <f>'Reported burning'!F2520</f>
        <v>Grassland</v>
      </c>
      <c r="G2520" s="156" t="str">
        <f>'Reported burning'!G2520</f>
        <v>Grassland</v>
      </c>
      <c r="H2520" s="156" t="str">
        <f>'Reported burning'!H2520</f>
        <v>Presence</v>
      </c>
      <c r="I2520" s="5"/>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4"/>
      <c r="AB2520" s="204"/>
    </row>
    <row r="2521" spans="1:28" ht="51" customHeight="1">
      <c r="A2521" s="156" t="str">
        <f>'Reported burning'!A2521</f>
        <v>301a</v>
      </c>
      <c r="B2521" s="156" t="str">
        <f>'Reported burning'!B2521</f>
        <v>301a.2</v>
      </c>
      <c r="C2521" s="156" t="str">
        <f>'Reported burning'!C2521</f>
        <v>Human, escaped</v>
      </c>
      <c r="D2521" s="156" t="str">
        <f>'Reported burning'!D2521</f>
        <v>Pasture renewal</v>
      </c>
      <c r="E2521" s="156" t="str">
        <f>'Reported burning'!E2521</f>
        <v>Cattle, Extensive</v>
      </c>
      <c r="F2521" s="156" t="str">
        <f>'Reported burning'!F2521</f>
        <v>Grassland</v>
      </c>
      <c r="G2521" s="156" t="str">
        <f>'Reported burning'!G2521</f>
        <v>ND</v>
      </c>
      <c r="H2521" s="156" t="str">
        <f>'Reported burning'!H2521</f>
        <v>Presence</v>
      </c>
      <c r="I2521" s="5"/>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c r="AB2521" s="204"/>
    </row>
    <row r="2522" spans="1:28" ht="59" customHeight="1">
      <c r="A2522" s="156" t="str">
        <f>'Reported burning'!A2522</f>
        <v>301a</v>
      </c>
      <c r="B2522" s="156" t="str">
        <f>'Reported burning'!B2522</f>
        <v>301a.3</v>
      </c>
      <c r="C2522" s="156" t="str">
        <f>'Reported burning'!C2522</f>
        <v>Human, deliberate</v>
      </c>
      <c r="D2522" s="156" t="str">
        <f>'Reported burning'!D2522</f>
        <v>Crop field preparation</v>
      </c>
      <c r="E2522" s="156" t="str">
        <f>'Reported burning'!E2522</f>
        <v>Cropping, Swidden</v>
      </c>
      <c r="F2522" s="156" t="str">
        <f>'Reported burning'!F2522</f>
        <v>Secondary vegetation</v>
      </c>
      <c r="G2522" s="156" t="str">
        <f>'Reported burning'!G2522</f>
        <v>ND</v>
      </c>
      <c r="H2522" s="156" t="str">
        <f>'Reported burning'!H2522</f>
        <v>Presence</v>
      </c>
      <c r="I2522" s="5"/>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c r="AB2522" s="204"/>
    </row>
    <row r="2523" spans="1:28" ht="59" customHeight="1">
      <c r="A2523" s="156" t="str">
        <f>'Reported burning'!A2523</f>
        <v>301a</v>
      </c>
      <c r="B2523" s="156" t="str">
        <f>'Reported burning'!B2523</f>
        <v>301a.4</v>
      </c>
      <c r="C2523" s="156" t="str">
        <f>'Reported burning'!C2523</f>
        <v>Human, deliberate</v>
      </c>
      <c r="D2523" s="156" t="str">
        <f>'Reported burning'!D2523</f>
        <v>Land clearance</v>
      </c>
      <c r="E2523" s="156" t="str">
        <f>'Reported burning'!E2523</f>
        <v>Cropping, Intensive</v>
      </c>
      <c r="F2523" s="156" t="str">
        <f>'Reported burning'!F2523</f>
        <v>Shrubland (Mixed forest &amp; grassland)</v>
      </c>
      <c r="G2523" s="156" t="str">
        <f>'Reported burning'!G2523</f>
        <v>Shrubland (Mixed forest &amp; grassland)</v>
      </c>
      <c r="H2523" s="156" t="str">
        <f>'Reported burning'!H2523</f>
        <v>Absence</v>
      </c>
      <c r="I2523" s="5"/>
      <c r="J2523" s="21">
        <v>0</v>
      </c>
      <c r="K2523" s="21">
        <v>0</v>
      </c>
      <c r="L2523" s="21">
        <v>0</v>
      </c>
      <c r="M2523" s="21">
        <v>0</v>
      </c>
      <c r="N2523" s="21">
        <v>0</v>
      </c>
      <c r="O2523" s="21">
        <v>0</v>
      </c>
      <c r="P2523" s="21">
        <v>0</v>
      </c>
      <c r="Q2523" s="21">
        <v>0</v>
      </c>
      <c r="R2523" s="21">
        <v>0</v>
      </c>
      <c r="S2523" s="21">
        <v>0</v>
      </c>
      <c r="T2523" s="21">
        <v>0</v>
      </c>
      <c r="U2523" s="21">
        <v>0</v>
      </c>
      <c r="V2523" s="21">
        <v>0</v>
      </c>
      <c r="W2523" s="204" t="s">
        <v>2276</v>
      </c>
      <c r="X2523" s="204" t="s">
        <v>2276</v>
      </c>
      <c r="Y2523" s="204" t="s">
        <v>2276</v>
      </c>
      <c r="Z2523" s="204" t="s">
        <v>2276</v>
      </c>
      <c r="AA2523" s="4" t="s">
        <v>7073</v>
      </c>
      <c r="AB2523" s="204"/>
    </row>
    <row r="2524" spans="1:28" ht="59" customHeight="1">
      <c r="A2524" s="152" t="str">
        <f>'Reported burning'!A2524</f>
        <v>301a</v>
      </c>
      <c r="B2524" s="152" t="str">
        <f>'Reported burning'!B2524</f>
        <v>301a.5</v>
      </c>
      <c r="C2524" s="152" t="str">
        <f>'Reported burning'!C2524</f>
        <v>Human, deliberate</v>
      </c>
      <c r="D2524" s="152" t="str">
        <f>'Reported burning'!D2524</f>
        <v>Arson</v>
      </c>
      <c r="E2524" s="152" t="str">
        <f>'Reported burning'!E2524</f>
        <v>Cropping, Swidden</v>
      </c>
      <c r="F2524" s="152" t="str">
        <f>'Reported burning'!F2524</f>
        <v>ND</v>
      </c>
      <c r="G2524" s="152" t="str">
        <f>'Reported burning'!G2524</f>
        <v>Shrubland (Mixed forest &amp; grassland)</v>
      </c>
      <c r="H2524" s="152" t="str">
        <f>'Reported burning'!H2524</f>
        <v>Presence</v>
      </c>
      <c r="I2524" s="204"/>
      <c r="J2524" s="204" t="s">
        <v>2276</v>
      </c>
      <c r="K2524" s="204" t="s">
        <v>2276</v>
      </c>
      <c r="L2524" s="204" t="s">
        <v>2276</v>
      </c>
      <c r="M2524" s="204" t="s">
        <v>2276</v>
      </c>
      <c r="N2524" s="204" t="s">
        <v>2276</v>
      </c>
      <c r="O2524" s="204" t="s">
        <v>2276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4" t="s">
        <v>7076</v>
      </c>
      <c r="AB2524" s="204"/>
    </row>
    <row r="2525" spans="1:28" ht="59" customHeight="1">
      <c r="A2525" s="152" t="str">
        <f>'Reported burning'!A2525</f>
        <v>301a</v>
      </c>
      <c r="B2525" s="152" t="str">
        <f>'Reported burning'!B2525</f>
        <v>301a.6</v>
      </c>
      <c r="C2525" s="152" t="str">
        <f>'Reported burning'!C2525</f>
        <v>Human, deliberate</v>
      </c>
      <c r="D2525" s="152" t="str">
        <f>'Reported burning'!D2525</f>
        <v>Arson</v>
      </c>
      <c r="E2525" s="152" t="str">
        <f>'Reported burning'!E2525</f>
        <v>Cattle, Extensive</v>
      </c>
      <c r="F2525" s="152" t="str">
        <f>'Reported burning'!F2525</f>
        <v>ND</v>
      </c>
      <c r="G2525" s="152" t="str">
        <f>'Reported burning'!G2525</f>
        <v>Shrubland (Mixed forest &amp; grassland)</v>
      </c>
      <c r="H2525" s="152" t="str">
        <f>'Reported burning'!H2525</f>
        <v>Presence</v>
      </c>
      <c r="I2525" s="204"/>
      <c r="J2525" s="204" t="s">
        <v>2276</v>
      </c>
      <c r="K2525" s="204" t="s">
        <v>2276</v>
      </c>
      <c r="L2525" s="204" t="s">
        <v>2276</v>
      </c>
      <c r="M2525" s="204" t="s">
        <v>2276</v>
      </c>
      <c r="N2525" s="204" t="s">
        <v>2276</v>
      </c>
      <c r="O2525" s="204" t="s">
        <v>2276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4" t="s">
        <v>7076</v>
      </c>
      <c r="AB2525" s="204"/>
    </row>
    <row r="2526" spans="1:28" ht="59" customHeight="1">
      <c r="A2526" s="156" t="str">
        <f>'Reported burning'!A2526</f>
        <v>302a</v>
      </c>
      <c r="B2526" s="156" t="str">
        <f>'Reported burning'!B2526</f>
        <v>302a.1</v>
      </c>
      <c r="C2526" s="156" t="str">
        <f>'Reported burning'!C2526</f>
        <v>Human, deliberate</v>
      </c>
      <c r="D2526" s="156" t="str">
        <f>'Reported burning'!D2526</f>
        <v>Pyrome management</v>
      </c>
      <c r="E2526" s="156" t="str">
        <f>'Reported burning'!E2526</f>
        <v>Fire suppression agent</v>
      </c>
      <c r="F2526" s="156" t="str">
        <f>'Reported burning'!F2526</f>
        <v>Shrubland (Mixed forest &amp; grassland)</v>
      </c>
      <c r="G2526" s="156" t="str">
        <f>'Reported burning'!G2526</f>
        <v>Shrubland (Mixed forest &amp; grassland)</v>
      </c>
      <c r="H2526" s="156" t="str">
        <f>'Reported burning'!H2526</f>
        <v>Presence</v>
      </c>
      <c r="I2526" s="5"/>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35</v>
      </c>
      <c r="Y2526" s="204" t="s">
        <v>35</v>
      </c>
      <c r="Z2526" s="204" t="s">
        <v>2276</v>
      </c>
      <c r="AA2526" s="204"/>
      <c r="AB2526" s="204"/>
    </row>
    <row r="2527" spans="1:28" ht="56.5" customHeight="1">
      <c r="A2527" s="156" t="str">
        <f>'Reported burning'!A2527</f>
        <v>302a</v>
      </c>
      <c r="B2527" s="156" t="str">
        <f>'Reported burning'!B2527</f>
        <v>302a.2</v>
      </c>
      <c r="C2527" s="156" t="str">
        <f>'Reported burning'!C2527</f>
        <v>Human, deliberate</v>
      </c>
      <c r="D2527" s="156" t="str">
        <f>'Reported burning'!D2527</f>
        <v>Conservation</v>
      </c>
      <c r="E2527" s="156" t="str">
        <f>'Reported burning'!E2527</f>
        <v>Fire suppression agent</v>
      </c>
      <c r="F2527" s="156" t="str">
        <f>'Reported burning'!F2527</f>
        <v>Shrubland (Mixed forest &amp; grassland)</v>
      </c>
      <c r="G2527" s="156" t="str">
        <f>'Reported burning'!G2527</f>
        <v>Shrubland (Mixed forest &amp; grassland)</v>
      </c>
      <c r="H2527" s="156" t="str">
        <f>'Reported burning'!H2527</f>
        <v>Presence</v>
      </c>
      <c r="I2527" s="5"/>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35</v>
      </c>
      <c r="Y2527" s="204" t="s">
        <v>35</v>
      </c>
      <c r="Z2527" s="204" t="s">
        <v>2276</v>
      </c>
      <c r="AA2527" s="204"/>
      <c r="AB2527" s="204"/>
    </row>
    <row r="2528" spans="1:28" ht="28" customHeight="1">
      <c r="A2528" s="156" t="str">
        <f>'Reported burning'!A2528</f>
        <v>302a</v>
      </c>
      <c r="B2528" s="156" t="str">
        <f>'Reported burning'!B2528</f>
        <v>302a.3</v>
      </c>
      <c r="C2528" s="156" t="str">
        <f>'Reported burning'!C2528</f>
        <v>Human, deliberate</v>
      </c>
      <c r="D2528" s="156" t="str">
        <f>'Reported burning'!D2528</f>
        <v>Rangeland management</v>
      </c>
      <c r="E2528" s="156" t="str">
        <f>'Reported burning'!E2528</f>
        <v>Cattle, Extensive</v>
      </c>
      <c r="F2528" s="156" t="str">
        <f>'Reported burning'!F2528</f>
        <v>Shrubland (Mixed forest &amp; grassland)</v>
      </c>
      <c r="G2528" s="152" t="str">
        <f>'Reported burning'!G2528</f>
        <v>ND</v>
      </c>
      <c r="H2528" s="156" t="str">
        <f>'Reported burning'!H2528</f>
        <v>Absence</v>
      </c>
      <c r="I2528" s="5"/>
      <c r="J2528" s="204" t="s">
        <v>2276</v>
      </c>
      <c r="K2528" s="204" t="s">
        <v>2276</v>
      </c>
      <c r="L2528" s="204" t="s">
        <v>2276</v>
      </c>
      <c r="M2528" s="204" t="s">
        <v>2276</v>
      </c>
      <c r="N2528" s="204" t="s">
        <v>2276</v>
      </c>
      <c r="O2528" s="204" t="s">
        <v>2276</v>
      </c>
      <c r="P2528" s="204" t="s">
        <v>2276</v>
      </c>
      <c r="Q2528" s="204" t="s">
        <v>2276</v>
      </c>
      <c r="R2528" s="204" t="s">
        <v>2276</v>
      </c>
      <c r="S2528" s="204" t="s">
        <v>2276</v>
      </c>
      <c r="T2528" s="204" t="s">
        <v>2276</v>
      </c>
      <c r="U2528" s="204" t="s">
        <v>2276</v>
      </c>
      <c r="V2528" s="204" t="s">
        <v>2276</v>
      </c>
      <c r="W2528" s="204" t="s">
        <v>2276</v>
      </c>
      <c r="X2528" s="204" t="s">
        <v>2276</v>
      </c>
      <c r="Y2528" s="204" t="s">
        <v>2276</v>
      </c>
      <c r="Z2528" s="204" t="s">
        <v>2276</v>
      </c>
      <c r="AA2528" s="4" t="s">
        <v>7089</v>
      </c>
      <c r="AB2528" s="204"/>
    </row>
    <row r="2529" spans="1:28" ht="28" customHeight="1">
      <c r="A2529" s="156" t="str">
        <f>'Reported burning'!A2529</f>
        <v>302a</v>
      </c>
      <c r="B2529" s="156" t="str">
        <f>'Reported burning'!B2529</f>
        <v>302a.4</v>
      </c>
      <c r="C2529" s="156" t="str">
        <f>'Reported burning'!C2529</f>
        <v>Human, deliberate</v>
      </c>
      <c r="D2529" s="156" t="str">
        <f>'Reported burning'!D2529</f>
        <v>Rangeland management</v>
      </c>
      <c r="E2529" s="156" t="str">
        <f>'Reported burning'!E2529</f>
        <v>Cattle, Extensive</v>
      </c>
      <c r="F2529" s="156" t="str">
        <f>'Reported burning'!F2529</f>
        <v>Shrubland (Mixed forest &amp; grassland)</v>
      </c>
      <c r="G2529" s="152" t="str">
        <f>'Reported burning'!G2529</f>
        <v>ND</v>
      </c>
      <c r="H2529" s="156" t="str">
        <f>'Reported burning'!H2529</f>
        <v>Presence</v>
      </c>
      <c r="I2529" s="5"/>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c r="AB2529" s="204"/>
    </row>
    <row r="2530" spans="1:28" ht="36" customHeight="1">
      <c r="A2530" s="156" t="str">
        <f>'Reported burning'!A2530</f>
        <v>303a</v>
      </c>
      <c r="B2530" s="156" t="str">
        <f>'Reported burning'!B2530</f>
        <v>303a.1</v>
      </c>
      <c r="C2530" s="156" t="str">
        <f>'Reported burning'!C2530</f>
        <v>Human, deliberate</v>
      </c>
      <c r="D2530" s="156" t="str">
        <f>'Reported burning'!D2530</f>
        <v>Rangeland management</v>
      </c>
      <c r="E2530" s="156" t="str">
        <f>'Reported burning'!E2530</f>
        <v>Cattle, Extensive</v>
      </c>
      <c r="F2530" s="156" t="str">
        <f>'Reported burning'!F2530</f>
        <v>Shrubland (Mixed forest &amp; grassland)</v>
      </c>
      <c r="G2530" s="156" t="str">
        <f>'Reported burning'!G2530</f>
        <v>ND</v>
      </c>
      <c r="H2530" s="156" t="str">
        <f>'Reported burning'!H2530</f>
        <v>Presence</v>
      </c>
      <c r="I2530" s="5"/>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c r="AB2530" s="204"/>
    </row>
    <row r="2531" spans="1:28" ht="28" customHeight="1">
      <c r="A2531" s="156" t="str">
        <f>'Reported burning'!A2531</f>
        <v>303g</v>
      </c>
      <c r="B2531" s="156" t="str">
        <f>'Reported burning'!B2531</f>
        <v>303g.1</v>
      </c>
      <c r="C2531" s="156" t="str">
        <f>'Reported burning'!C2531</f>
        <v>Human, deliberate</v>
      </c>
      <c r="D2531" s="156" t="str">
        <f>'Reported burning'!D2531</f>
        <v>Rangeland management</v>
      </c>
      <c r="E2531" s="156" t="str">
        <f>'Reported burning'!E2531</f>
        <v>Cattle, Extensive</v>
      </c>
      <c r="F2531" s="156" t="str">
        <f>'Reported burning'!F2531</f>
        <v>Shrubland (Mixed forest &amp; grassland)</v>
      </c>
      <c r="G2531" s="156" t="str">
        <f>'Reported burning'!G2531</f>
        <v>ND</v>
      </c>
      <c r="H2531" s="156" t="str">
        <f>'Reported burning'!H2531</f>
        <v>Presence</v>
      </c>
      <c r="I2531" s="5"/>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c r="AB2531" s="204"/>
    </row>
    <row r="2532" spans="1:28" ht="36" customHeight="1">
      <c r="A2532" s="156" t="str">
        <f>'Reported burning'!A2532</f>
        <v>303h</v>
      </c>
      <c r="B2532" s="156" t="str">
        <f>'Reported burning'!B2532</f>
        <v>303h.1</v>
      </c>
      <c r="C2532" s="156" t="str">
        <f>'Reported burning'!C2532</f>
        <v>Human, deliberate</v>
      </c>
      <c r="D2532" s="156" t="str">
        <f>'Reported burning'!D2532</f>
        <v>Rangeland management</v>
      </c>
      <c r="E2532" s="156" t="str">
        <f>'Reported burning'!E2532</f>
        <v>Cattle, Extensive</v>
      </c>
      <c r="F2532" s="156" t="str">
        <f>'Reported burning'!F2532</f>
        <v>Shrubland (Mixed forest &amp; grassland)</v>
      </c>
      <c r="G2532" s="156" t="str">
        <f>'Reported burning'!G2532</f>
        <v>ND</v>
      </c>
      <c r="H2532" s="156" t="str">
        <f>'Reported burning'!H2532</f>
        <v>Presence</v>
      </c>
      <c r="I2532" s="5"/>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c r="AB2532" s="204"/>
    </row>
    <row r="2533" spans="1:28" ht="36.5" customHeight="1">
      <c r="A2533" s="156" t="str">
        <f>'Reported burning'!A2533</f>
        <v>303i</v>
      </c>
      <c r="B2533" s="156" t="str">
        <f>'Reported burning'!B2533</f>
        <v>303i.1</v>
      </c>
      <c r="C2533" s="156" t="str">
        <f>'Reported burning'!C2533</f>
        <v>Human, deliberate</v>
      </c>
      <c r="D2533" s="156" t="str">
        <f>'Reported burning'!D2533</f>
        <v>Rangeland management</v>
      </c>
      <c r="E2533" s="156" t="str">
        <f>'Reported burning'!E2533</f>
        <v>Cattle, Extensive</v>
      </c>
      <c r="F2533" s="156" t="str">
        <f>'Reported burning'!F2533</f>
        <v>Shrubland (Mixed forest &amp; grassland)</v>
      </c>
      <c r="G2533" s="156" t="str">
        <f>'Reported burning'!G2533</f>
        <v>ND</v>
      </c>
      <c r="H2533" s="156" t="str">
        <f>'Reported burning'!H2533</f>
        <v>Presence</v>
      </c>
      <c r="I2533" s="5"/>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c r="AB2533" s="204"/>
    </row>
    <row r="2534" spans="1:28" ht="36.5" customHeight="1">
      <c r="A2534" s="156" t="str">
        <f>'Reported burning'!A2534</f>
        <v>303j</v>
      </c>
      <c r="B2534" s="156" t="str">
        <f>'Reported burning'!B2534</f>
        <v>303j.1</v>
      </c>
      <c r="C2534" s="156" t="str">
        <f>'Reported burning'!C2534</f>
        <v>Human, deliberate</v>
      </c>
      <c r="D2534" s="156" t="str">
        <f>'Reported burning'!D2534</f>
        <v>Rangeland management</v>
      </c>
      <c r="E2534" s="156" t="str">
        <f>'Reported burning'!E2534</f>
        <v>Cattle, Extensive</v>
      </c>
      <c r="F2534" s="156" t="str">
        <f>'Reported burning'!F2534</f>
        <v>Shrubland (Mixed forest &amp; grassland)</v>
      </c>
      <c r="G2534" s="156" t="str">
        <f>'Reported burning'!G2534</f>
        <v>ND</v>
      </c>
      <c r="H2534" s="156" t="str">
        <f>'Reported burning'!H2534</f>
        <v>Presence</v>
      </c>
      <c r="I2534" s="5"/>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c r="AB2534" s="204"/>
    </row>
    <row r="2535" spans="1:28" ht="36.5" customHeight="1">
      <c r="A2535" s="156" t="str">
        <f>'Reported burning'!A2535</f>
        <v>303k</v>
      </c>
      <c r="B2535" s="156" t="str">
        <f>'Reported burning'!B2535</f>
        <v>303k.1</v>
      </c>
      <c r="C2535" s="156" t="str">
        <f>'Reported burning'!C2535</f>
        <v>Human, deliberate</v>
      </c>
      <c r="D2535" s="156" t="str">
        <f>'Reported burning'!D2535</f>
        <v>Rangeland management</v>
      </c>
      <c r="E2535" s="156" t="str">
        <f>'Reported burning'!E2535</f>
        <v>Cattle, Extensive</v>
      </c>
      <c r="F2535" s="156" t="str">
        <f>'Reported burning'!F2535</f>
        <v>Shrubland (Mixed forest &amp; grassland)</v>
      </c>
      <c r="G2535" s="156" t="str">
        <f>'Reported burning'!G2535</f>
        <v>ND</v>
      </c>
      <c r="H2535" s="156" t="str">
        <f>'Reported burning'!H2535</f>
        <v>Presence</v>
      </c>
      <c r="I2535" s="5"/>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c r="AB2535" s="204"/>
    </row>
    <row r="2536" spans="1:28" ht="36.5" customHeight="1">
      <c r="A2536" s="156" t="str">
        <f>'Reported burning'!A2536</f>
        <v>303l</v>
      </c>
      <c r="B2536" s="156" t="str">
        <f>'Reported burning'!B2536</f>
        <v>303l.1</v>
      </c>
      <c r="C2536" s="156" t="str">
        <f>'Reported burning'!C2536</f>
        <v>Human, deliberate</v>
      </c>
      <c r="D2536" s="156" t="str">
        <f>'Reported burning'!D2536</f>
        <v>Rangeland management</v>
      </c>
      <c r="E2536" s="156" t="str">
        <f>'Reported burning'!E2536</f>
        <v>Cattle, Extensive</v>
      </c>
      <c r="F2536" s="156" t="str">
        <f>'Reported burning'!F2536</f>
        <v>Shrubland (Mixed forest &amp; grassland)</v>
      </c>
      <c r="G2536" s="156" t="str">
        <f>'Reported burning'!G2536</f>
        <v>ND</v>
      </c>
      <c r="H2536" s="156" t="str">
        <f>'Reported burning'!H2536</f>
        <v>Presence</v>
      </c>
      <c r="I2536" s="5"/>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c r="AB2536" s="204"/>
    </row>
    <row r="2537" spans="1:28" ht="36.5" customHeight="1">
      <c r="A2537" s="156" t="str">
        <f>'Reported burning'!A2537</f>
        <v>303aj</v>
      </c>
      <c r="B2537" s="156" t="str">
        <f>'Reported burning'!B2537</f>
        <v>303aj.1</v>
      </c>
      <c r="C2537" s="156" t="str">
        <f>'Reported burning'!C2537</f>
        <v>Human, deliberate</v>
      </c>
      <c r="D2537" s="156" t="str">
        <f>'Reported burning'!D2537</f>
        <v>Rangeland management</v>
      </c>
      <c r="E2537" s="156" t="str">
        <f>'Reported burning'!E2537</f>
        <v>Cattle, Extensive</v>
      </c>
      <c r="F2537" s="156" t="str">
        <f>'Reported burning'!F2537</f>
        <v>Shrubland (Mixed forest &amp; grassland)</v>
      </c>
      <c r="G2537" s="156" t="str">
        <f>'Reported burning'!G2537</f>
        <v>ND</v>
      </c>
      <c r="H2537" s="156" t="str">
        <f>'Reported burning'!H2537</f>
        <v>Presence</v>
      </c>
      <c r="I2537" s="5"/>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1" t="s">
        <v>2401</v>
      </c>
      <c r="X2537" s="204" t="s">
        <v>34</v>
      </c>
      <c r="Y2537" s="204" t="s">
        <v>405</v>
      </c>
      <c r="Z2537" s="204" t="s">
        <v>2276</v>
      </c>
      <c r="AA2537" s="11" t="s">
        <v>7223</v>
      </c>
      <c r="AB2537" s="204"/>
    </row>
    <row r="2538" spans="1:28" ht="36.5" customHeight="1">
      <c r="A2538" s="156" t="str">
        <f>'Reported burning'!A2538</f>
        <v>303aj</v>
      </c>
      <c r="B2538" s="156" t="str">
        <f>'Reported burning'!B2538</f>
        <v>303aj.2</v>
      </c>
      <c r="C2538" s="156" t="str">
        <f>'Reported burning'!C2538</f>
        <v>Human, escaped</v>
      </c>
      <c r="D2538" s="156" t="str">
        <f>'Reported burning'!D2538</f>
        <v>Rangeland management</v>
      </c>
      <c r="E2538" s="156" t="str">
        <f>'Reported burning'!E2538</f>
        <v>Cattle, Extensive</v>
      </c>
      <c r="F2538" s="156" t="str">
        <f>'Reported burning'!F2538</f>
        <v>Shrubland (Mixed forest &amp; grassland)</v>
      </c>
      <c r="G2538" s="156" t="str">
        <f>'Reported burning'!G2538</f>
        <v>ND</v>
      </c>
      <c r="H2538" s="156" t="str">
        <f>'Reported burning'!H2538</f>
        <v>Presence</v>
      </c>
      <c r="I2538" s="5"/>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11" t="s">
        <v>7226</v>
      </c>
      <c r="AB2538" s="204"/>
    </row>
    <row r="2539" spans="1:28" ht="36.5" customHeight="1">
      <c r="A2539" s="156" t="str">
        <f>'Reported burning'!A2539</f>
        <v>303ak</v>
      </c>
      <c r="B2539" s="156" t="str">
        <f>'Reported burning'!B2539</f>
        <v>303ak.1</v>
      </c>
      <c r="C2539" s="156" t="str">
        <f>'Reported burning'!C2539</f>
        <v>Human, deliberate</v>
      </c>
      <c r="D2539" s="156" t="str">
        <f>'Reported burning'!D2539</f>
        <v>Rangeland management</v>
      </c>
      <c r="E2539" s="156" t="str">
        <f>'Reported burning'!E2539</f>
        <v>Cattle, Extensive</v>
      </c>
      <c r="F2539" s="156" t="str">
        <f>'Reported burning'!F2539</f>
        <v>Shrubland (Mixed forest &amp; grassland)</v>
      </c>
      <c r="G2539" s="156" t="str">
        <f>'Reported burning'!G2539</f>
        <v>ND</v>
      </c>
      <c r="H2539" s="156" t="str">
        <f>'Reported burning'!H2539</f>
        <v>Presence</v>
      </c>
      <c r="I2539" s="5"/>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1" t="s">
        <v>2401</v>
      </c>
      <c r="X2539" s="204" t="s">
        <v>34</v>
      </c>
      <c r="Y2539" s="204" t="s">
        <v>405</v>
      </c>
      <c r="Z2539" s="204" t="s">
        <v>2276</v>
      </c>
      <c r="AA2539" s="11" t="s">
        <v>7223</v>
      </c>
      <c r="AB2539" s="204"/>
    </row>
    <row r="2540" spans="1:28" s="203" customFormat="1" ht="36.5" customHeight="1">
      <c r="A2540" s="152" t="str">
        <f>'Reported burning'!A2540</f>
        <v>303al</v>
      </c>
      <c r="B2540" s="152" t="str">
        <f>'Reported burning'!B2540</f>
        <v>303al.1</v>
      </c>
      <c r="C2540" s="152" t="str">
        <f>'Reported burning'!C2540</f>
        <v>Human, deliberate</v>
      </c>
      <c r="D2540" s="152" t="str">
        <f>'Reported burning'!D2540</f>
        <v>Rangeland management</v>
      </c>
      <c r="E2540" s="152" t="str">
        <f>'Reported burning'!E2540</f>
        <v>Cattle, Extensive</v>
      </c>
      <c r="F2540" s="152" t="str">
        <f>'Reported burning'!F2540</f>
        <v>Shrubland (Mixed forest &amp; grassland)</v>
      </c>
      <c r="G2540" s="152" t="str">
        <f>'Reported burning'!G2540</f>
        <v>ND</v>
      </c>
      <c r="H2540" s="152" t="str">
        <f>'Reported burning'!H2540</f>
        <v>Presence</v>
      </c>
      <c r="I2540" s="5"/>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1" t="s">
        <v>2401</v>
      </c>
      <c r="X2540" s="204" t="s">
        <v>34</v>
      </c>
      <c r="Y2540" s="204" t="s">
        <v>405</v>
      </c>
      <c r="Z2540" s="204" t="s">
        <v>2276</v>
      </c>
      <c r="AA2540" s="11" t="s">
        <v>7223</v>
      </c>
      <c r="AB2540" s="204"/>
    </row>
    <row r="2541" spans="1:28" ht="36.5" customHeight="1">
      <c r="A2541" s="156" t="str">
        <f>'Reported burning'!A2541</f>
        <v>303am</v>
      </c>
      <c r="B2541" s="156" t="str">
        <f>'Reported burning'!B2541</f>
        <v>303am.1</v>
      </c>
      <c r="C2541" s="156" t="str">
        <f>'Reported burning'!C2541</f>
        <v>Human, deliberate</v>
      </c>
      <c r="D2541" s="156" t="str">
        <f>'Reported burning'!D2541</f>
        <v>Rangeland management</v>
      </c>
      <c r="E2541" s="156" t="str">
        <f>'Reported burning'!E2541</f>
        <v>Cattle, Extensive</v>
      </c>
      <c r="F2541" s="156" t="str">
        <f>'Reported burning'!F2541</f>
        <v>Shrubland (Mixed forest &amp; grassland)</v>
      </c>
      <c r="G2541" s="156" t="str">
        <f>'Reported burning'!G2541</f>
        <v>ND</v>
      </c>
      <c r="H2541" s="156" t="str">
        <f>'Reported burning'!H2541</f>
        <v>Presence</v>
      </c>
      <c r="I2541" s="5"/>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11"/>
      <c r="AB2541" s="204"/>
    </row>
    <row r="2542" spans="1:28" ht="37.5" customHeight="1">
      <c r="A2542" s="156" t="str">
        <f>'Reported burning'!A2542</f>
        <v>303am</v>
      </c>
      <c r="B2542" s="156" t="str">
        <f>'Reported burning'!B2542</f>
        <v>303am.2</v>
      </c>
      <c r="C2542" s="156" t="str">
        <f>'Reported burning'!C2542</f>
        <v>Human, deliberate</v>
      </c>
      <c r="D2542" s="156" t="str">
        <f>'Reported burning'!D2542</f>
        <v>Rangeland management</v>
      </c>
      <c r="E2542" s="156" t="str">
        <f>'Reported burning'!E2542</f>
        <v>Pastoralism, Migratory</v>
      </c>
      <c r="F2542" s="156" t="str">
        <f>'Reported burning'!F2542</f>
        <v>Shrubland (Mixed forest &amp; grassland)</v>
      </c>
      <c r="G2542" s="156" t="str">
        <f>'Reported burning'!G2542</f>
        <v>ND</v>
      </c>
      <c r="H2542" s="156" t="str">
        <f>'Reported burning'!H2542</f>
        <v>Presence</v>
      </c>
      <c r="I2542" s="5"/>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c r="AB2542" s="204"/>
    </row>
    <row r="2543" spans="1:28" ht="44.5" customHeight="1">
      <c r="A2543" s="156" t="str">
        <f>'Reported burning'!A2543</f>
        <v>303an</v>
      </c>
      <c r="B2543" s="156" t="str">
        <f>'Reported burning'!B2543</f>
        <v>303an.1</v>
      </c>
      <c r="C2543" s="156" t="str">
        <f>'Reported burning'!C2543</f>
        <v>Human, deliberate</v>
      </c>
      <c r="D2543" s="156" t="str">
        <f>'Reported burning'!D2543</f>
        <v>Rangeland management</v>
      </c>
      <c r="E2543" s="156" t="str">
        <f>'Reported burning'!E2543</f>
        <v>Cattle, Extensive</v>
      </c>
      <c r="F2543" s="156" t="str">
        <f>'Reported burning'!F2543</f>
        <v>Shrubland (Mixed forest &amp; grassland)</v>
      </c>
      <c r="G2543" s="156" t="str">
        <f>'Reported burning'!G2543</f>
        <v>ND</v>
      </c>
      <c r="H2543" s="156" t="str">
        <f>'Reported burning'!H2543</f>
        <v>Presence</v>
      </c>
      <c r="I2543" s="5"/>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c r="AB2543" s="204"/>
    </row>
    <row r="2544" spans="1:28" ht="44.5" customHeight="1">
      <c r="A2544" s="156" t="str">
        <f>'Reported burning'!A2544</f>
        <v>303an</v>
      </c>
      <c r="B2544" s="156" t="str">
        <f>'Reported burning'!B2544</f>
        <v>303an.2</v>
      </c>
      <c r="C2544" s="156" t="str">
        <f>'Reported burning'!C2544</f>
        <v>Human, deliberate</v>
      </c>
      <c r="D2544" s="156" t="str">
        <f>'Reported burning'!D2544</f>
        <v>Rangeland management</v>
      </c>
      <c r="E2544" s="156" t="str">
        <f>'Reported burning'!E2544</f>
        <v>Pastoralism, Migratory</v>
      </c>
      <c r="F2544" s="156" t="str">
        <f>'Reported burning'!F2544</f>
        <v>Shrubland (Mixed forest &amp; grassland)</v>
      </c>
      <c r="G2544" s="156" t="str">
        <f>'Reported burning'!G2544</f>
        <v>ND</v>
      </c>
      <c r="H2544" s="156" t="str">
        <f>'Reported burning'!H2544</f>
        <v>Presence</v>
      </c>
      <c r="I2544" s="5"/>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c r="AB2544" s="204"/>
    </row>
    <row r="2545" spans="1:28" ht="44.5" customHeight="1">
      <c r="A2545" s="156" t="str">
        <f>'Reported burning'!A2545</f>
        <v>304a</v>
      </c>
      <c r="B2545" s="156" t="str">
        <f>'Reported burning'!B2545</f>
        <v>304a.1</v>
      </c>
      <c r="C2545" s="156" t="str">
        <f>'Reported burning'!C2545</f>
        <v>Human, deliberate</v>
      </c>
      <c r="D2545" s="156" t="str">
        <f>'Reported burning'!D2545</f>
        <v>Pyrome management</v>
      </c>
      <c r="E2545" s="156" t="str">
        <f>'Reported burning'!E2545</f>
        <v>Fire suppression agent</v>
      </c>
      <c r="F2545" s="156" t="str">
        <f>'Reported burning'!F2545</f>
        <v>Shrubland (Mixed forest &amp; grassland)</v>
      </c>
      <c r="G2545" s="156" t="str">
        <f>'Reported burning'!G2545</f>
        <v>ND</v>
      </c>
      <c r="H2545" s="156" t="str">
        <f>'Reported burning'!H2545</f>
        <v>Presence</v>
      </c>
      <c r="I2545" s="5"/>
      <c r="J2545" s="14" t="s">
        <v>2365</v>
      </c>
      <c r="K2545" s="204" t="s">
        <v>2276</v>
      </c>
      <c r="L2545" s="204" t="s">
        <v>2276</v>
      </c>
      <c r="M2545" s="21" t="s">
        <v>2379</v>
      </c>
      <c r="N2545" s="204" t="s">
        <v>2276</v>
      </c>
      <c r="O2545" s="21" t="s">
        <v>2377</v>
      </c>
      <c r="P2545" s="21" t="s">
        <v>2377</v>
      </c>
      <c r="Q2545" s="21" t="s">
        <v>2376</v>
      </c>
      <c r="R2545" s="21" t="s">
        <v>2376</v>
      </c>
      <c r="S2545" s="204" t="s">
        <v>2276</v>
      </c>
      <c r="T2545" s="204" t="s">
        <v>2276</v>
      </c>
      <c r="U2545" s="204" t="s">
        <v>2276</v>
      </c>
      <c r="V2545" s="204" t="s">
        <v>2276</v>
      </c>
      <c r="W2545" s="204" t="s">
        <v>2276</v>
      </c>
      <c r="X2545" s="204" t="s">
        <v>2276</v>
      </c>
      <c r="Y2545" s="204" t="s">
        <v>2276</v>
      </c>
      <c r="Z2545" s="204" t="s">
        <v>2276</v>
      </c>
      <c r="AA2545" s="204"/>
      <c r="AB2545" s="204"/>
    </row>
    <row r="2546" spans="1:28" ht="44.5" customHeight="1">
      <c r="A2546" s="156" t="str">
        <f>'Reported burning'!A2546</f>
        <v>304b</v>
      </c>
      <c r="B2546" s="156" t="str">
        <f>'Reported burning'!B2546</f>
        <v>304b.1</v>
      </c>
      <c r="C2546" s="156" t="str">
        <f>'Reported burning'!C2546</f>
        <v>Human, deliberate</v>
      </c>
      <c r="D2546" s="156" t="str">
        <f>'Reported burning'!D2546</f>
        <v>Pyrome management</v>
      </c>
      <c r="E2546" s="156" t="str">
        <f>'Reported burning'!E2546</f>
        <v>Fire suppression agent</v>
      </c>
      <c r="F2546" s="156" t="str">
        <f>'Reported burning'!F2546</f>
        <v>Shrubland (Mixed forest &amp; grassland)</v>
      </c>
      <c r="G2546" s="156" t="str">
        <f>'Reported burning'!G2546</f>
        <v>ND</v>
      </c>
      <c r="H2546" s="156" t="str">
        <f>'Reported burning'!H2546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04" t="s">
        <v>2276</v>
      </c>
      <c r="X2546" s="204" t="s">
        <v>2276</v>
      </c>
      <c r="Y2546" s="204" t="s">
        <v>2276</v>
      </c>
      <c r="Z2546" s="204" t="s">
        <v>2276</v>
      </c>
      <c r="AA2546" s="204"/>
      <c r="AB2546" s="204"/>
    </row>
    <row r="2547" spans="1:28" ht="33" customHeight="1">
      <c r="A2547" s="156" t="str">
        <f>'Reported burning'!A2547</f>
        <v>304b</v>
      </c>
      <c r="B2547" s="156" t="str">
        <f>'Reported burning'!B2547</f>
        <v>304b.2</v>
      </c>
      <c r="C2547" s="156" t="str">
        <f>'Reported burning'!C2547</f>
        <v>Human, deliberate</v>
      </c>
      <c r="D2547" s="156" t="str">
        <f>'Reported burning'!D2547</f>
        <v>Pyrome management</v>
      </c>
      <c r="E2547" s="156" t="str">
        <f>'Reported burning'!E2547</f>
        <v>Fire suppression agent</v>
      </c>
      <c r="F2547" s="156" t="str">
        <f>'Reported burning'!F2547</f>
        <v>Shrubland (Mixed forest &amp; grassland)</v>
      </c>
      <c r="G2547" s="156" t="str">
        <f>'Reported burning'!G2547</f>
        <v>ND</v>
      </c>
      <c r="H2547" s="156"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04" t="s">
        <v>2276</v>
      </c>
      <c r="X2547" s="204" t="s">
        <v>2276</v>
      </c>
      <c r="Y2547" s="204" t="s">
        <v>2276</v>
      </c>
      <c r="Z2547" s="204" t="s">
        <v>2276</v>
      </c>
      <c r="AA2547" s="204"/>
      <c r="AB2547" s="204"/>
    </row>
    <row r="2548" spans="1:28" ht="33" customHeight="1">
      <c r="A2548" s="156" t="str">
        <f>'Reported burning'!A2548</f>
        <v>304c</v>
      </c>
      <c r="B2548" s="156" t="str">
        <f>'Reported burning'!B2548</f>
        <v>304c.1</v>
      </c>
      <c r="C2548" s="156" t="str">
        <f>'Reported burning'!C2548</f>
        <v>Human, deliberate</v>
      </c>
      <c r="D2548" s="156" t="str">
        <f>'Reported burning'!D2548</f>
        <v>Pyrome management</v>
      </c>
      <c r="E2548" s="156" t="str">
        <f>'Reported burning'!E2548</f>
        <v>Fire suppression agent</v>
      </c>
      <c r="F2548" s="156" t="str">
        <f>'Reported burning'!F2548</f>
        <v>Shrubland (Mixed forest &amp; grassland)</v>
      </c>
      <c r="G2548" s="156" t="str">
        <f>'Reported burning'!G2548</f>
        <v>ND</v>
      </c>
      <c r="H2548" s="156" t="str">
        <f>'Reported burning'!H2548</f>
        <v>Presence</v>
      </c>
      <c r="I2548" s="5"/>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c r="AB2548" s="204"/>
    </row>
    <row r="2549" spans="1:28" ht="33" customHeight="1">
      <c r="A2549" s="156" t="str">
        <f>'Reported burning'!A2549</f>
        <v>304d</v>
      </c>
      <c r="B2549" s="156" t="str">
        <f>'Reported burning'!B2549</f>
        <v>304d.1</v>
      </c>
      <c r="C2549" s="156" t="str">
        <f>'Reported burning'!C2549</f>
        <v>Human, deliberate</v>
      </c>
      <c r="D2549" s="156" t="str">
        <f>'Reported burning'!D2549</f>
        <v>Pyrome management</v>
      </c>
      <c r="E2549" s="156" t="str">
        <f>'Reported burning'!E2549</f>
        <v>Fire suppression agent</v>
      </c>
      <c r="F2549" s="156" t="str">
        <f>'Reported burning'!F2549</f>
        <v>Shrubland (Mixed forest &amp; grassland)</v>
      </c>
      <c r="G2549" s="156" t="str">
        <f>'Reported burning'!G2549</f>
        <v>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29" customHeight="1">
      <c r="A2550" s="156" t="str">
        <f>'Reported burning'!A2550</f>
        <v>304d</v>
      </c>
      <c r="B2550" s="156" t="str">
        <f>'Reported burning'!B2550</f>
        <v>304d.2</v>
      </c>
      <c r="C2550" s="156" t="str">
        <f>'Reported burning'!C2550</f>
        <v>Human, deliberate</v>
      </c>
      <c r="D2550" s="156" t="str">
        <f>'Reported burning'!D2550</f>
        <v>Rangeland management</v>
      </c>
      <c r="E2550" s="156" t="str">
        <f>'Reported burning'!E2550</f>
        <v>Cattle, Extensive</v>
      </c>
      <c r="F2550" s="156" t="str">
        <f>'Reported burning'!F2550</f>
        <v>Shrubland (Mixed forest &amp; grassland)</v>
      </c>
      <c r="G2550" s="156" t="str">
        <f>'Reported burning'!G2550</f>
        <v>ND</v>
      </c>
      <c r="H2550" s="156" t="str">
        <f>'Reported burning'!H2550</f>
        <v>Presence</v>
      </c>
      <c r="I2550" s="5"/>
      <c r="J2550" s="204" t="s">
        <v>2276</v>
      </c>
      <c r="K2550" s="204" t="s">
        <v>2276</v>
      </c>
      <c r="L2550" s="204" t="s">
        <v>2276</v>
      </c>
      <c r="M2550" s="204" t="s">
        <v>2276</v>
      </c>
      <c r="N2550" s="204" t="s">
        <v>2276</v>
      </c>
      <c r="O2550" s="204" t="s">
        <v>2276</v>
      </c>
      <c r="P2550" s="204" t="s">
        <v>2276</v>
      </c>
      <c r="Q2550" s="204" t="s">
        <v>2276</v>
      </c>
      <c r="R2550" s="204" t="s">
        <v>2276</v>
      </c>
      <c r="S2550" s="14" t="s">
        <v>2374</v>
      </c>
      <c r="T2550" s="204" t="s">
        <v>2276</v>
      </c>
      <c r="U2550" s="204" t="s">
        <v>2276</v>
      </c>
      <c r="V2550" s="204" t="s">
        <v>2276</v>
      </c>
      <c r="W2550" s="204" t="s">
        <v>2276</v>
      </c>
      <c r="X2550" s="204" t="s">
        <v>2276</v>
      </c>
      <c r="Y2550" s="204" t="s">
        <v>2276</v>
      </c>
      <c r="Z2550" s="204" t="s">
        <v>2276</v>
      </c>
      <c r="AA2550" s="204"/>
      <c r="AB2550" s="204"/>
    </row>
    <row r="2551" spans="1:28" ht="29" customHeight="1">
      <c r="A2551" s="156" t="str">
        <f>'Reported burning'!A2551</f>
        <v>304d</v>
      </c>
      <c r="B2551" s="156" t="str">
        <f>'Reported burning'!B2551</f>
        <v>304d.3</v>
      </c>
      <c r="C2551" s="156" t="str">
        <f>'Reported burning'!C2551</f>
        <v>Human, escaped</v>
      </c>
      <c r="D2551" s="156" t="str">
        <f>'Reported burning'!D2551</f>
        <v>Rangeland management</v>
      </c>
      <c r="E2551" s="156" t="str">
        <f>'Reported burning'!E2551</f>
        <v>Cattle, Extensive</v>
      </c>
      <c r="F2551" s="156" t="str">
        <f>'Reported burning'!F2551</f>
        <v>Shrubland (Mixed forest &amp; grassland)</v>
      </c>
      <c r="G2551" s="156" t="str">
        <f>'Reported burning'!G2551</f>
        <v>ND</v>
      </c>
      <c r="H2551" s="156" t="str">
        <f>'Reported burning'!H2551</f>
        <v>Presence</v>
      </c>
      <c r="I2551" s="5"/>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c r="AB2551" s="204"/>
    </row>
    <row r="2552" spans="1:28" ht="29" customHeight="1">
      <c r="A2552" s="156" t="str">
        <f>'Reported burning'!A2552</f>
        <v>304e</v>
      </c>
      <c r="B2552" s="156" t="str">
        <f>'Reported burning'!B2552</f>
        <v>304e.1</v>
      </c>
      <c r="C2552" s="156" t="str">
        <f>'Reported burning'!C2552</f>
        <v>Human, deliberate</v>
      </c>
      <c r="D2552" s="156" t="str">
        <f>'Reported burning'!D2552</f>
        <v>Rangeland management</v>
      </c>
      <c r="E2552" s="156" t="str">
        <f>'Reported burning'!E2552</f>
        <v>Cattle, Extensive</v>
      </c>
      <c r="F2552" s="156" t="str">
        <f>'Reported burning'!F2552</f>
        <v>Shrubland (Mixed forest &amp; grassland)</v>
      </c>
      <c r="G2552" s="156" t="str">
        <f>'Reported burning'!G2552</f>
        <v>ND</v>
      </c>
      <c r="H2552" s="156" t="str">
        <f>'Reported burning'!H2552</f>
        <v>Presence</v>
      </c>
      <c r="I2552" s="5">
        <f>'Reported burning'!I2552</f>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c r="AB2552" s="204"/>
    </row>
    <row r="2553" spans="1:28" ht="29" customHeight="1">
      <c r="A2553" s="156" t="str">
        <f>'Reported burning'!A2553</f>
        <v>304e</v>
      </c>
      <c r="B2553" s="156" t="str">
        <f>'Reported burning'!B2553</f>
        <v>304e.2</v>
      </c>
      <c r="C2553" s="156" t="str">
        <f>'Reported burning'!C2553</f>
        <v>Human, deliberate</v>
      </c>
      <c r="D2553" s="156" t="str">
        <f>'Reported burning'!D2553</f>
        <v>Rangeland management</v>
      </c>
      <c r="E2553" s="156" t="str">
        <f>'Reported burning'!E2553</f>
        <v>Cattle, Extensive</v>
      </c>
      <c r="F2553" s="156" t="str">
        <f>'Reported burning'!F2553</f>
        <v>Shrubland (Mixed forest &amp; grassland)</v>
      </c>
      <c r="G2553" s="156" t="str">
        <f>'Reported burning'!G2553</f>
        <v>ND</v>
      </c>
      <c r="H2553" s="156" t="str">
        <f>'Reported burning'!H2553</f>
        <v>Presence</v>
      </c>
      <c r="I2553" s="5">
        <f>'Reported burning'!I2553</f>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c r="AB2553" s="204"/>
    </row>
    <row r="2554" spans="1:28" ht="33.5" customHeight="1">
      <c r="A2554" s="156" t="str">
        <f>'Reported burning'!A2554</f>
        <v>304e</v>
      </c>
      <c r="B2554" s="156" t="str">
        <f>'Reported burning'!B2554</f>
        <v>304e.3</v>
      </c>
      <c r="C2554" s="156" t="str">
        <f>'Reported burning'!C2554</f>
        <v>Human, deliberate</v>
      </c>
      <c r="D2554" s="156" t="str">
        <f>'Reported burning'!D2554</f>
        <v>Pyrome management</v>
      </c>
      <c r="E2554" s="156" t="str">
        <f>'Reported burning'!E2554</f>
        <v>Fire suppression agent</v>
      </c>
      <c r="F2554" s="156" t="str">
        <f>'Reported burning'!F2554</f>
        <v>Shrubland (Mixed forest &amp; grassland)</v>
      </c>
      <c r="G2554" s="156" t="str">
        <f>'Reported burning'!G2554</f>
        <v>ND</v>
      </c>
      <c r="H2554" s="156" t="str">
        <f>'Reported burning'!H2554</f>
        <v>Presence</v>
      </c>
      <c r="I2554" s="5"/>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c r="AB2554" s="204"/>
    </row>
    <row r="2555" spans="1:28" ht="33.5" customHeight="1">
      <c r="A2555" s="156" t="str">
        <f>'Reported burning'!A2555</f>
        <v>305a</v>
      </c>
      <c r="B2555" s="156" t="str">
        <f>'Reported burning'!B2555</f>
        <v>305a.1</v>
      </c>
      <c r="C2555" s="156" t="str">
        <f>'Reported burning'!C2555</f>
        <v>Human, deliberate</v>
      </c>
      <c r="D2555" s="156" t="str">
        <f>'Reported burning'!D2555</f>
        <v>Pyrome management</v>
      </c>
      <c r="E2555" s="156" t="str">
        <f>'Reported burning'!E2555</f>
        <v>Fire suppression agent</v>
      </c>
      <c r="F2555" s="156" t="str">
        <f>'Reported burning'!F2555</f>
        <v>ND</v>
      </c>
      <c r="G2555" s="156" t="str">
        <f>'Reported burning'!G2555</f>
        <v>ND</v>
      </c>
      <c r="H2555" s="156" t="str">
        <f>'Reported burning'!H2555</f>
        <v>Absence</v>
      </c>
      <c r="I2555" s="5"/>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2276</v>
      </c>
      <c r="AA2555" s="204"/>
      <c r="AB2555" s="204"/>
    </row>
    <row r="2556" spans="1:28" ht="33.5" customHeight="1">
      <c r="A2556" s="156" t="str">
        <f>'Reported burning'!A2556</f>
        <v>305b</v>
      </c>
      <c r="B2556" s="156" t="str">
        <f>'Reported burning'!B2556</f>
        <v>305b.1</v>
      </c>
      <c r="C2556" s="156" t="str">
        <f>'Reported burning'!C2556</f>
        <v>Human, deliberate</v>
      </c>
      <c r="D2556" s="156" t="str">
        <f>'Reported burning'!D2556</f>
        <v>Pyrome management</v>
      </c>
      <c r="E2556" s="156" t="str">
        <f>'Reported burning'!E2556</f>
        <v>Fire suppression agent</v>
      </c>
      <c r="F2556" s="156" t="str">
        <f>'Reported burning'!F2556</f>
        <v>ND</v>
      </c>
      <c r="G2556" s="156" t="str">
        <f>'Reported burning'!G2556</f>
        <v>ND</v>
      </c>
      <c r="H2556" s="156" t="str">
        <f>'Reported burning'!H2556</f>
        <v>Absence</v>
      </c>
      <c r="I2556" s="5"/>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2276</v>
      </c>
      <c r="AA2556" s="204"/>
      <c r="AB2556" s="204"/>
    </row>
    <row r="2557" spans="1:28" ht="33.5" customHeight="1">
      <c r="A2557" s="156" t="str">
        <f>'Reported burning'!A2557</f>
        <v>305c</v>
      </c>
      <c r="B2557" s="156" t="str">
        <f>'Reported burning'!B2557</f>
        <v>305c.1</v>
      </c>
      <c r="C2557" s="156" t="str">
        <f>'Reported burning'!C2557</f>
        <v>Human, deliberate</v>
      </c>
      <c r="D2557" s="156" t="str">
        <f>'Reported burning'!D2557</f>
        <v>Pyrome management</v>
      </c>
      <c r="E2557" s="156" t="str">
        <f>'Reported burning'!E2557</f>
        <v>Fire suppression agent</v>
      </c>
      <c r="F2557" s="156" t="str">
        <f>'Reported burning'!F2557</f>
        <v>ND</v>
      </c>
      <c r="G2557" s="156" t="str">
        <f>'Reported burning'!G2557</f>
        <v>ND</v>
      </c>
      <c r="H2557" s="156" t="str">
        <f>'Reported burning'!H2557</f>
        <v>Absence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c r="AB2557" s="204"/>
    </row>
    <row r="2558" spans="1:28" ht="33.5" customHeight="1">
      <c r="A2558" s="156" t="str">
        <f>'Reported burning'!A2558</f>
        <v>305d</v>
      </c>
      <c r="B2558" s="156" t="str">
        <f>'Reported burning'!B2558</f>
        <v>305d.1</v>
      </c>
      <c r="C2558" s="156" t="str">
        <f>'Reported burning'!C2558</f>
        <v>Human, deliberate</v>
      </c>
      <c r="D2558" s="156" t="str">
        <f>'Reported burning'!D2558</f>
        <v>Pyrome management</v>
      </c>
      <c r="E2558" s="156" t="str">
        <f>'Reported burning'!E2558</f>
        <v>Fire suppression agent</v>
      </c>
      <c r="F2558" s="156" t="str">
        <f>'Reported burning'!F2558</f>
        <v>ND</v>
      </c>
      <c r="G2558" s="156" t="str">
        <f>'Reported burning'!G2558</f>
        <v>ND</v>
      </c>
      <c r="H2558" s="156" t="str">
        <f>'Reported burning'!H2558</f>
        <v>Absence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33.5" customHeight="1">
      <c r="A2559" s="156" t="str">
        <f>'Reported burning'!A2559</f>
        <v>305e</v>
      </c>
      <c r="B2559" s="156" t="str">
        <f>'Reported burning'!B2559</f>
        <v>305e.1</v>
      </c>
      <c r="C2559" s="156" t="str">
        <f>'Reported burning'!C2559</f>
        <v>Human, deliberate</v>
      </c>
      <c r="D2559" s="156" t="str">
        <f>'Reported burning'!D2559</f>
        <v>Pyrome management</v>
      </c>
      <c r="E2559" s="156" t="str">
        <f>'Reported burning'!E2559</f>
        <v>Fire suppression agent</v>
      </c>
      <c r="F2559" s="156" t="str">
        <f>'Reported burning'!F2559</f>
        <v>ND</v>
      </c>
      <c r="G2559" s="156" t="str">
        <f>'Reported burning'!G2559</f>
        <v>ND</v>
      </c>
      <c r="H2559" s="156" t="str">
        <f>'Reported burning'!H2559</f>
        <v>Absence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33.5" customHeight="1">
      <c r="A2560" s="156" t="str">
        <f>'Reported burning'!A2560</f>
        <v>305f</v>
      </c>
      <c r="B2560" s="156" t="str">
        <f>'Reported burning'!B2560</f>
        <v>305f.1</v>
      </c>
      <c r="C2560" s="156" t="str">
        <f>'Reported burning'!C2560</f>
        <v>Human, deliberate</v>
      </c>
      <c r="D2560" s="156" t="str">
        <f>'Reported burning'!D2560</f>
        <v>Pyrome management</v>
      </c>
      <c r="E2560" s="156" t="str">
        <f>'Reported burning'!E2560</f>
        <v>Fire suppression agent</v>
      </c>
      <c r="F2560" s="156" t="str">
        <f>'Reported burning'!F2560</f>
        <v>ND</v>
      </c>
      <c r="G2560" s="156" t="str">
        <f>'Reported burning'!G2560</f>
        <v>ND</v>
      </c>
      <c r="H2560" s="156" t="str">
        <f>'Reported burning'!H2560</f>
        <v>Absence</v>
      </c>
      <c r="I2560" s="5"/>
      <c r="J2560" s="204" t="s">
        <v>2276</v>
      </c>
      <c r="K2560" s="204" t="s">
        <v>2276</v>
      </c>
      <c r="L2560" s="204" t="s">
        <v>2276</v>
      </c>
      <c r="M2560" s="204" t="s">
        <v>2276</v>
      </c>
      <c r="N2560" s="204" t="s">
        <v>2276</v>
      </c>
      <c r="O2560" s="204" t="s">
        <v>2276</v>
      </c>
      <c r="P2560" s="204" t="s">
        <v>2276</v>
      </c>
      <c r="Q2560" s="204" t="s">
        <v>2276</v>
      </c>
      <c r="R2560" s="204" t="s">
        <v>2276</v>
      </c>
      <c r="S2560" s="204" t="s">
        <v>2276</v>
      </c>
      <c r="T2560" s="204" t="s">
        <v>2276</v>
      </c>
      <c r="U2560" s="204" t="s">
        <v>2276</v>
      </c>
      <c r="V2560" s="204" t="s">
        <v>2276</v>
      </c>
      <c r="W2560" s="204" t="s">
        <v>2276</v>
      </c>
      <c r="X2560" s="204" t="s">
        <v>2276</v>
      </c>
      <c r="Y2560" s="204" t="s">
        <v>2276</v>
      </c>
      <c r="Z2560" s="204" t="s">
        <v>2276</v>
      </c>
      <c r="AA2560" s="204"/>
      <c r="AB2560" s="204"/>
    </row>
    <row r="2561" spans="1:28" ht="33.5" customHeight="1">
      <c r="A2561" s="156" t="str">
        <f>'Reported burning'!A2561</f>
        <v>305g</v>
      </c>
      <c r="B2561" s="156" t="str">
        <f>'Reported burning'!B2561</f>
        <v>305g.1</v>
      </c>
      <c r="C2561" s="156" t="str">
        <f>'Reported burning'!C2561</f>
        <v>Human, deliberate</v>
      </c>
      <c r="D2561" s="156" t="str">
        <f>'Reported burning'!D2561</f>
        <v>Pyrome management</v>
      </c>
      <c r="E2561" s="156" t="str">
        <f>'Reported burning'!E2561</f>
        <v>Fire suppression agent</v>
      </c>
      <c r="F2561" s="156" t="str">
        <f>'Reported burning'!F2561</f>
        <v>ND</v>
      </c>
      <c r="G2561" s="156" t="str">
        <f>'Reported burning'!G2561</f>
        <v>ND</v>
      </c>
      <c r="H2561" s="156" t="str">
        <f>'Reported burning'!H2561</f>
        <v>Absence</v>
      </c>
      <c r="I2561" s="5"/>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11" t="s">
        <v>7309</v>
      </c>
      <c r="AB2561" s="204"/>
    </row>
    <row r="2562" spans="1:28" ht="33.5" customHeight="1">
      <c r="A2562" s="156" t="str">
        <f>'Reported burning'!A2562</f>
        <v>305h</v>
      </c>
      <c r="B2562" s="156" t="str">
        <f>'Reported burning'!B2562</f>
        <v>305h.1</v>
      </c>
      <c r="C2562" s="156" t="str">
        <f>'Reported burning'!C2562</f>
        <v>Human, deliberate</v>
      </c>
      <c r="D2562" s="156" t="str">
        <f>'Reported burning'!D2562</f>
        <v>Pyrome management</v>
      </c>
      <c r="E2562" s="156" t="str">
        <f>'Reported burning'!E2562</f>
        <v>Fire suppression agent</v>
      </c>
      <c r="F2562" s="156" t="str">
        <f>'Reported burning'!F2562</f>
        <v>ND</v>
      </c>
      <c r="G2562" s="156" t="str">
        <f>'Reported burning'!G2562</f>
        <v>ND</v>
      </c>
      <c r="H2562" s="156" t="str">
        <f>'Reported burning'!H2562</f>
        <v>Absence</v>
      </c>
      <c r="I2562" s="5"/>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c r="AB2562" s="204"/>
    </row>
    <row r="2563" spans="1:28" ht="33.5" customHeight="1">
      <c r="A2563" s="156" t="str">
        <f>'Reported burning'!A2563</f>
        <v>305i</v>
      </c>
      <c r="B2563" s="156" t="str">
        <f>'Reported burning'!B2563</f>
        <v>305i.1</v>
      </c>
      <c r="C2563" s="156" t="str">
        <f>'Reported burning'!C2563</f>
        <v>Human, deliberate</v>
      </c>
      <c r="D2563" s="156" t="str">
        <f>'Reported burning'!D2563</f>
        <v>Pyrome management</v>
      </c>
      <c r="E2563" s="156" t="str">
        <f>'Reported burning'!E2563</f>
        <v>Fire suppression agent</v>
      </c>
      <c r="F2563" s="156" t="str">
        <f>'Reported burning'!F2563</f>
        <v>ND</v>
      </c>
      <c r="G2563" s="156" t="str">
        <f>'Reported burning'!G2563</f>
        <v>ND</v>
      </c>
      <c r="H2563" s="156" t="str">
        <f>'Reported burning'!H2563</f>
        <v>Presence</v>
      </c>
      <c r="I2563" s="5">
        <f>'Reported burning'!I2563</f>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38</v>
      </c>
      <c r="Z2563" s="204" t="s">
        <v>64</v>
      </c>
      <c r="AA2563" s="204" t="s">
        <v>7628</v>
      </c>
      <c r="AB2563" s="204"/>
    </row>
    <row r="2564" spans="1:28" ht="33.5" customHeight="1">
      <c r="A2564" s="156" t="str">
        <f>'Reported burning'!A2564</f>
        <v>305j</v>
      </c>
      <c r="B2564" s="156" t="str">
        <f>'Reported burning'!B2564</f>
        <v>305j.1</v>
      </c>
      <c r="C2564" s="156" t="str">
        <f>'Reported burning'!C2564</f>
        <v>Human, deliberate</v>
      </c>
      <c r="D2564" s="156" t="str">
        <f>'Reported burning'!D2564</f>
        <v>Pyrome management</v>
      </c>
      <c r="E2564" s="156" t="str">
        <f>'Reported burning'!E2564</f>
        <v>Fire suppression agent</v>
      </c>
      <c r="F2564" s="156" t="str">
        <f>'Reported burning'!F2564</f>
        <v>ND</v>
      </c>
      <c r="G2564" s="156" t="str">
        <f>'Reported burning'!G2564</f>
        <v>ND</v>
      </c>
      <c r="H2564" s="156" t="str">
        <f>'Reported burning'!H2564</f>
        <v>Presence</v>
      </c>
      <c r="I2564" s="5">
        <f>'Reported burning'!I2564</f>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38</v>
      </c>
      <c r="Z2564" s="204" t="s">
        <v>64</v>
      </c>
      <c r="AA2564" s="204" t="s">
        <v>7628</v>
      </c>
      <c r="AB2564" s="204"/>
    </row>
    <row r="2565" spans="1:28" ht="33.5" customHeight="1">
      <c r="A2565" s="156" t="str">
        <f>'Reported burning'!A2565</f>
        <v>305k</v>
      </c>
      <c r="B2565" s="156" t="str">
        <f>'Reported burning'!B2565</f>
        <v>305k.1</v>
      </c>
      <c r="C2565" s="156" t="str">
        <f>'Reported burning'!C2565</f>
        <v>Human, deliberate</v>
      </c>
      <c r="D2565" s="156" t="str">
        <f>'Reported burning'!D2565</f>
        <v>Pyrome management</v>
      </c>
      <c r="E2565" s="156" t="str">
        <f>'Reported burning'!E2565</f>
        <v>Fire suppression agent</v>
      </c>
      <c r="F2565" s="156" t="str">
        <f>'Reported burning'!F2565</f>
        <v>ND</v>
      </c>
      <c r="G2565" s="156" t="str">
        <f>'Reported burning'!G2565</f>
        <v>ND</v>
      </c>
      <c r="H2565" s="156" t="str">
        <f>'Reported burning'!H2565</f>
        <v>Presence</v>
      </c>
      <c r="I2565" s="5">
        <f>'Reported burning'!I2565</f>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35</v>
      </c>
      <c r="Y2565" s="204" t="s">
        <v>38</v>
      </c>
      <c r="Z2565" s="204" t="s">
        <v>64</v>
      </c>
      <c r="AA2565" s="204" t="s">
        <v>7628</v>
      </c>
      <c r="AB2565" s="204"/>
    </row>
    <row r="2566" spans="1:28" ht="33.5" customHeight="1">
      <c r="A2566" s="156" t="str">
        <f>'Reported burning'!A2566</f>
        <v>305l</v>
      </c>
      <c r="B2566" s="156" t="str">
        <f>'Reported burning'!B2566</f>
        <v>305l.1</v>
      </c>
      <c r="C2566" s="156" t="str">
        <f>'Reported burning'!C2566</f>
        <v>Human, deliberate</v>
      </c>
      <c r="D2566" s="156" t="str">
        <f>'Reported burning'!D2566</f>
        <v>Pyrome management</v>
      </c>
      <c r="E2566" s="156" t="str">
        <f>'Reported burning'!E2566</f>
        <v>Fire suppression agent</v>
      </c>
      <c r="F2566" s="156" t="str">
        <f>'Reported burning'!F2566</f>
        <v>ND</v>
      </c>
      <c r="G2566" s="156" t="str">
        <f>'Reported burning'!G2566</f>
        <v>ND</v>
      </c>
      <c r="H2566" s="156" t="str">
        <f>'Reported burning'!H2566</f>
        <v>Presence</v>
      </c>
      <c r="I2566" s="5">
        <f>'Reported burning'!I2566</f>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35</v>
      </c>
      <c r="Y2566" s="204" t="s">
        <v>38</v>
      </c>
      <c r="Z2566" s="204" t="s">
        <v>64</v>
      </c>
      <c r="AA2566" s="204" t="s">
        <v>7628</v>
      </c>
      <c r="AB2566" s="204"/>
    </row>
    <row r="2567" spans="1:28" ht="33.5" customHeight="1">
      <c r="A2567" s="156" t="str">
        <f>'Reported burning'!A2567</f>
        <v>305m</v>
      </c>
      <c r="B2567" s="156" t="str">
        <f>'Reported burning'!B2567</f>
        <v>305m.1</v>
      </c>
      <c r="C2567" s="156" t="str">
        <f>'Reported burning'!C2567</f>
        <v>Human, deliberate</v>
      </c>
      <c r="D2567" s="156" t="str">
        <f>'Reported burning'!D2567</f>
        <v>Pyrome management</v>
      </c>
      <c r="E2567" s="156" t="str">
        <f>'Reported burning'!E2567</f>
        <v>Fire suppression agent</v>
      </c>
      <c r="F2567" s="156" t="str">
        <f>'Reported burning'!F2567</f>
        <v>ND</v>
      </c>
      <c r="G2567" s="156" t="str">
        <f>'Reported burning'!G2567</f>
        <v>ND</v>
      </c>
      <c r="H2567" s="156" t="str">
        <f>'Reported burning'!H2567</f>
        <v>Presence</v>
      </c>
      <c r="I2567" s="5">
        <f>'Reported burning'!I2567</f>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35</v>
      </c>
      <c r="Y2567" s="204" t="s">
        <v>38</v>
      </c>
      <c r="Z2567" s="204" t="s">
        <v>64</v>
      </c>
      <c r="AA2567" s="204" t="s">
        <v>7628</v>
      </c>
      <c r="AB2567" s="204"/>
    </row>
    <row r="2568" spans="1:28" ht="33.5" customHeight="1">
      <c r="A2568" s="156" t="str">
        <f>'Reported burning'!A2568</f>
        <v>305i</v>
      </c>
      <c r="B2568" s="156" t="str">
        <f>'Reported burning'!B2568</f>
        <v>305i.2</v>
      </c>
      <c r="C2568" s="156" t="str">
        <f>'Reported burning'!C2568</f>
        <v>Human, deliberate</v>
      </c>
      <c r="D2568" s="156" t="str">
        <f>'Reported burning'!D2568</f>
        <v>Pyrome management</v>
      </c>
      <c r="E2568" s="156" t="str">
        <f>'Reported burning'!E2568</f>
        <v>Fire suppression agent</v>
      </c>
      <c r="F2568" s="156" t="str">
        <f>'Reported burning'!F2568</f>
        <v>ND</v>
      </c>
      <c r="G2568" s="156" t="str">
        <f>'Reported burning'!G2568</f>
        <v>ND</v>
      </c>
      <c r="H2568" s="156" t="str">
        <f>'Reported burning'!H2568</f>
        <v>Presence</v>
      </c>
      <c r="I2568" s="5">
        <f>'Reported burning'!I2568</f>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35</v>
      </c>
      <c r="Y2568" s="204" t="s">
        <v>38</v>
      </c>
      <c r="Z2568" s="204" t="s">
        <v>64</v>
      </c>
      <c r="AA2568" s="204" t="s">
        <v>7628</v>
      </c>
      <c r="AB2568" s="204"/>
    </row>
    <row r="2569" spans="1:28" ht="33.5" customHeight="1">
      <c r="A2569" s="156" t="str">
        <f>'Reported burning'!A2569</f>
        <v>305j</v>
      </c>
      <c r="B2569" s="156" t="str">
        <f>'Reported burning'!B2569</f>
        <v>305j.2</v>
      </c>
      <c r="C2569" s="156" t="str">
        <f>'Reported burning'!C2569</f>
        <v>Human, deliberate</v>
      </c>
      <c r="D2569" s="156" t="str">
        <f>'Reported burning'!D2569</f>
        <v>Pyrome management</v>
      </c>
      <c r="E2569" s="156" t="str">
        <f>'Reported burning'!E2569</f>
        <v>Fire suppression agent</v>
      </c>
      <c r="F2569" s="156" t="str">
        <f>'Reported burning'!F2569</f>
        <v>ND</v>
      </c>
      <c r="G2569" s="156" t="str">
        <f>'Reported burning'!G2569</f>
        <v>ND</v>
      </c>
      <c r="H2569" s="156" t="str">
        <f>'Reported burning'!H2569</f>
        <v>Presence</v>
      </c>
      <c r="I2569" s="5">
        <f>'Reported burning'!I2569</f>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35</v>
      </c>
      <c r="Y2569" s="204" t="s">
        <v>38</v>
      </c>
      <c r="Z2569" s="204" t="s">
        <v>64</v>
      </c>
      <c r="AA2569" s="204" t="s">
        <v>7628</v>
      </c>
      <c r="AB2569" s="204"/>
    </row>
    <row r="2570" spans="1:28" ht="33.5" customHeight="1">
      <c r="A2570" s="156" t="str">
        <f>'Reported burning'!A2570</f>
        <v>305k</v>
      </c>
      <c r="B2570" s="156" t="str">
        <f>'Reported burning'!B2570</f>
        <v>305k.2</v>
      </c>
      <c r="C2570" s="156" t="str">
        <f>'Reported burning'!C2570</f>
        <v>Human, deliberate</v>
      </c>
      <c r="D2570" s="156" t="str">
        <f>'Reported burning'!D2570</f>
        <v>Pyrome management</v>
      </c>
      <c r="E2570" s="156" t="str">
        <f>'Reported burning'!E2570</f>
        <v>Fire suppression agent</v>
      </c>
      <c r="F2570" s="156" t="str">
        <f>'Reported burning'!F2570</f>
        <v>ND</v>
      </c>
      <c r="G2570" s="156" t="str">
        <f>'Reported burning'!G2570</f>
        <v>ND</v>
      </c>
      <c r="H2570" s="156" t="str">
        <f>'Reported burning'!H2570</f>
        <v>Presence</v>
      </c>
      <c r="I2570" s="5">
        <f>'Reported burning'!I2570</f>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35</v>
      </c>
      <c r="Y2570" s="204" t="s">
        <v>38</v>
      </c>
      <c r="Z2570" s="204" t="s">
        <v>64</v>
      </c>
      <c r="AA2570" s="204" t="s">
        <v>7628</v>
      </c>
      <c r="AB2570" s="204"/>
    </row>
    <row r="2571" spans="1:28" ht="33.5" customHeight="1">
      <c r="A2571" s="156" t="str">
        <f>'Reported burning'!A2571</f>
        <v>305l</v>
      </c>
      <c r="B2571" s="156" t="str">
        <f>'Reported burning'!B2571</f>
        <v>305l.2</v>
      </c>
      <c r="C2571" s="156" t="str">
        <f>'Reported burning'!C2571</f>
        <v>Human, deliberate</v>
      </c>
      <c r="D2571" s="156" t="str">
        <f>'Reported burning'!D2571</f>
        <v>Pyrome management</v>
      </c>
      <c r="E2571" s="156" t="str">
        <f>'Reported burning'!E2571</f>
        <v>Fire suppression agent</v>
      </c>
      <c r="F2571" s="156" t="str">
        <f>'Reported burning'!F2571</f>
        <v>ND</v>
      </c>
      <c r="G2571" s="156" t="str">
        <f>'Reported burning'!G2571</f>
        <v>ND</v>
      </c>
      <c r="H2571" s="156" t="str">
        <f>'Reported burning'!H2571</f>
        <v>Presence</v>
      </c>
      <c r="I2571" s="5">
        <f>'Reported burning'!I2571</f>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35</v>
      </c>
      <c r="Y2571" s="204" t="s">
        <v>38</v>
      </c>
      <c r="Z2571" s="204" t="s">
        <v>64</v>
      </c>
      <c r="AA2571" s="204" t="s">
        <v>7628</v>
      </c>
      <c r="AB2571" s="204"/>
    </row>
    <row r="2572" spans="1:28" ht="33.5" customHeight="1">
      <c r="A2572" s="156" t="str">
        <f>'Reported burning'!A2572</f>
        <v>305m</v>
      </c>
      <c r="B2572" s="156" t="str">
        <f>'Reported burning'!B2572</f>
        <v>305m.2</v>
      </c>
      <c r="C2572" s="156" t="str">
        <f>'Reported burning'!C2572</f>
        <v>Human, deliberate</v>
      </c>
      <c r="D2572" s="156" t="str">
        <f>'Reported burning'!D2572</f>
        <v>Pyrome management</v>
      </c>
      <c r="E2572" s="156" t="str">
        <f>'Reported burning'!E2572</f>
        <v>Fire suppression agent</v>
      </c>
      <c r="F2572" s="156" t="str">
        <f>'Reported burning'!F2572</f>
        <v>ND</v>
      </c>
      <c r="G2572" s="156" t="str">
        <f>'Reported burning'!G2572</f>
        <v>ND</v>
      </c>
      <c r="H2572" s="156" t="str">
        <f>'Reported burning'!H2572</f>
        <v>Presence</v>
      </c>
      <c r="I2572" s="5">
        <f>'Reported burning'!I2572</f>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35</v>
      </c>
      <c r="Y2572" s="204" t="s">
        <v>38</v>
      </c>
      <c r="Z2572" s="204" t="s">
        <v>64</v>
      </c>
      <c r="AA2572" s="204" t="s">
        <v>7628</v>
      </c>
      <c r="AB2572" s="204"/>
    </row>
    <row r="2573" spans="1:28" ht="33.5" customHeight="1">
      <c r="A2573" s="156" t="str">
        <f>'Reported burning'!A2573</f>
        <v>305i</v>
      </c>
      <c r="B2573" s="156" t="str">
        <f>'Reported burning'!B2573</f>
        <v>305i.3</v>
      </c>
      <c r="C2573" s="156" t="str">
        <f>'Reported burning'!C2573</f>
        <v>Human, deliberate</v>
      </c>
      <c r="D2573" s="156" t="str">
        <f>'Reported burning'!D2573</f>
        <v>Pyrome management</v>
      </c>
      <c r="E2573" s="156" t="str">
        <f>'Reported burning'!E2573</f>
        <v>Fire suppression agent</v>
      </c>
      <c r="F2573" s="156" t="str">
        <f>'Reported burning'!F2573</f>
        <v>ND</v>
      </c>
      <c r="G2573" s="156" t="str">
        <f>'Reported burning'!G2573</f>
        <v>ND</v>
      </c>
      <c r="H2573" s="156" t="str">
        <f>'Reported burning'!H2573</f>
        <v>Presence</v>
      </c>
      <c r="I2573" s="5">
        <f>'Reported burning'!I2573</f>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35</v>
      </c>
      <c r="Y2573" s="204" t="s">
        <v>38</v>
      </c>
      <c r="Z2573" s="204" t="s">
        <v>64</v>
      </c>
      <c r="AA2573" s="204" t="s">
        <v>7628</v>
      </c>
      <c r="AB2573" s="204"/>
    </row>
    <row r="2574" spans="1:28" ht="33.5" customHeight="1">
      <c r="A2574" s="156" t="str">
        <f>'Reported burning'!A2574</f>
        <v>305j</v>
      </c>
      <c r="B2574" s="156" t="str">
        <f>'Reported burning'!B2574</f>
        <v>305j.3</v>
      </c>
      <c r="C2574" s="156" t="str">
        <f>'Reported burning'!C2574</f>
        <v>Human, deliberate</v>
      </c>
      <c r="D2574" s="156" t="str">
        <f>'Reported burning'!D2574</f>
        <v>Pyrome management</v>
      </c>
      <c r="E2574" s="156" t="str">
        <f>'Reported burning'!E2574</f>
        <v>Fire suppression agent</v>
      </c>
      <c r="F2574" s="156" t="str">
        <f>'Reported burning'!F2574</f>
        <v>ND</v>
      </c>
      <c r="G2574" s="156" t="str">
        <f>'Reported burning'!G2574</f>
        <v>ND</v>
      </c>
      <c r="H2574" s="156" t="str">
        <f>'Reported burning'!H2574</f>
        <v>Presence</v>
      </c>
      <c r="I2574" s="5">
        <f>'Reported burning'!I2574</f>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35</v>
      </c>
      <c r="Y2574" s="204" t="s">
        <v>38</v>
      </c>
      <c r="Z2574" s="204" t="s">
        <v>64</v>
      </c>
      <c r="AA2574" s="204" t="s">
        <v>7628</v>
      </c>
      <c r="AB2574" s="204"/>
    </row>
    <row r="2575" spans="1:28" ht="33.5" customHeight="1">
      <c r="A2575" s="156" t="str">
        <f>'Reported burning'!A2575</f>
        <v>305k</v>
      </c>
      <c r="B2575" s="156" t="str">
        <f>'Reported burning'!B2575</f>
        <v>305k.3</v>
      </c>
      <c r="C2575" s="156" t="str">
        <f>'Reported burning'!C2575</f>
        <v>Human, deliberate</v>
      </c>
      <c r="D2575" s="156" t="str">
        <f>'Reported burning'!D2575</f>
        <v>Pyrome management</v>
      </c>
      <c r="E2575" s="156" t="str">
        <f>'Reported burning'!E2575</f>
        <v>Fire suppression agent</v>
      </c>
      <c r="F2575" s="156" t="str">
        <f>'Reported burning'!F2575</f>
        <v>ND</v>
      </c>
      <c r="G2575" s="156" t="str">
        <f>'Reported burning'!G2575</f>
        <v>ND</v>
      </c>
      <c r="H2575" s="156" t="str">
        <f>'Reported burning'!H2575</f>
        <v>Presence</v>
      </c>
      <c r="I2575" s="5">
        <f>'Reported burning'!I2575</f>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35</v>
      </c>
      <c r="Y2575" s="204" t="s">
        <v>38</v>
      </c>
      <c r="Z2575" s="204" t="s">
        <v>64</v>
      </c>
      <c r="AA2575" s="204" t="s">
        <v>7628</v>
      </c>
      <c r="AB2575" s="204"/>
    </row>
    <row r="2576" spans="1:28" ht="33.5" customHeight="1">
      <c r="A2576" s="156" t="str">
        <f>'Reported burning'!A2576</f>
        <v>305l</v>
      </c>
      <c r="B2576" s="156" t="str">
        <f>'Reported burning'!B2576</f>
        <v>305l.3</v>
      </c>
      <c r="C2576" s="156" t="str">
        <f>'Reported burning'!C2576</f>
        <v>Human, deliberate</v>
      </c>
      <c r="D2576" s="156" t="str">
        <f>'Reported burning'!D2576</f>
        <v>Pyrome management</v>
      </c>
      <c r="E2576" s="156" t="str">
        <f>'Reported burning'!E2576</f>
        <v>Fire suppression agent</v>
      </c>
      <c r="F2576" s="156" t="str">
        <f>'Reported burning'!F2576</f>
        <v>ND</v>
      </c>
      <c r="G2576" s="156" t="str">
        <f>'Reported burning'!G2576</f>
        <v>ND</v>
      </c>
      <c r="H2576" s="156" t="str">
        <f>'Reported burning'!H2576</f>
        <v>Presence</v>
      </c>
      <c r="I2576" s="5">
        <f>'Reported burning'!I2576</f>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35</v>
      </c>
      <c r="Y2576" s="204" t="s">
        <v>38</v>
      </c>
      <c r="Z2576" s="204" t="s">
        <v>64</v>
      </c>
      <c r="AA2576" s="204" t="s">
        <v>7628</v>
      </c>
      <c r="AB2576" s="204"/>
    </row>
    <row r="2577" spans="1:28" ht="33.5" customHeight="1">
      <c r="A2577" s="156" t="str">
        <f>'Reported burning'!A2577</f>
        <v>305m</v>
      </c>
      <c r="B2577" s="156" t="str">
        <f>'Reported burning'!B2577</f>
        <v>305m.3</v>
      </c>
      <c r="C2577" s="156" t="str">
        <f>'Reported burning'!C2577</f>
        <v>Human, deliberate</v>
      </c>
      <c r="D2577" s="156" t="str">
        <f>'Reported burning'!D2577</f>
        <v>Pyrome management</v>
      </c>
      <c r="E2577" s="156" t="str">
        <f>'Reported burning'!E2577</f>
        <v>Fire suppression agent</v>
      </c>
      <c r="F2577" s="156" t="str">
        <f>'Reported burning'!F2577</f>
        <v>ND</v>
      </c>
      <c r="G2577" s="156" t="str">
        <f>'Reported burning'!G2577</f>
        <v>ND</v>
      </c>
      <c r="H2577" s="156" t="str">
        <f>'Reported burning'!H2577</f>
        <v>Presence</v>
      </c>
      <c r="I2577" s="5">
        <f>'Reported burning'!I2577</f>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35</v>
      </c>
      <c r="Y2577" s="204" t="s">
        <v>38</v>
      </c>
      <c r="Z2577" s="204" t="s">
        <v>64</v>
      </c>
      <c r="AA2577" s="204" t="s">
        <v>7628</v>
      </c>
      <c r="AB2577" s="204"/>
    </row>
    <row r="2578" spans="1:28" ht="33.5" customHeight="1">
      <c r="A2578" s="156" t="str">
        <f>'Reported burning'!A2578</f>
        <v>305i</v>
      </c>
      <c r="B2578" s="156" t="str">
        <f>'Reported burning'!B2578</f>
        <v>305i.4</v>
      </c>
      <c r="C2578" s="156" t="str">
        <f>'Reported burning'!C2578</f>
        <v>Human, deliberate</v>
      </c>
      <c r="D2578" s="156" t="str">
        <f>'Reported burning'!D2578</f>
        <v>Pyrome management</v>
      </c>
      <c r="E2578" s="156" t="str">
        <f>'Reported burning'!E2578</f>
        <v>Fire suppression agent</v>
      </c>
      <c r="F2578" s="156" t="str">
        <f>'Reported burning'!F2578</f>
        <v>ND</v>
      </c>
      <c r="G2578" s="156" t="str">
        <f>'Reported burning'!G2578</f>
        <v>ND</v>
      </c>
      <c r="H2578" s="156" t="str">
        <f>'Reported burning'!H2578</f>
        <v>Presence</v>
      </c>
      <c r="I2578" s="5">
        <f>'Reported burning'!I2578</f>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35</v>
      </c>
      <c r="Y2578" s="204" t="s">
        <v>38</v>
      </c>
      <c r="Z2578" s="204" t="s">
        <v>64</v>
      </c>
      <c r="AA2578" s="204" t="s">
        <v>7628</v>
      </c>
      <c r="AB2578" s="204"/>
    </row>
    <row r="2579" spans="1:28" ht="33.5" customHeight="1">
      <c r="A2579" s="156" t="str">
        <f>'Reported burning'!A2579</f>
        <v>305j</v>
      </c>
      <c r="B2579" s="156" t="str">
        <f>'Reported burning'!B2579</f>
        <v>305j.4</v>
      </c>
      <c r="C2579" s="156" t="str">
        <f>'Reported burning'!C2579</f>
        <v>Human, deliberate</v>
      </c>
      <c r="D2579" s="156" t="str">
        <f>'Reported burning'!D2579</f>
        <v>Pyrome management</v>
      </c>
      <c r="E2579" s="156" t="str">
        <f>'Reported burning'!E2579</f>
        <v>Fire suppression agent</v>
      </c>
      <c r="F2579" s="156" t="str">
        <f>'Reported burning'!F2579</f>
        <v>ND</v>
      </c>
      <c r="G2579" s="156" t="str">
        <f>'Reported burning'!G2579</f>
        <v>ND</v>
      </c>
      <c r="H2579" s="156" t="str">
        <f>'Reported burning'!H2579</f>
        <v>Presence</v>
      </c>
      <c r="I2579" s="5">
        <f>'Reported burning'!I2579</f>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35</v>
      </c>
      <c r="Y2579" s="204" t="s">
        <v>38</v>
      </c>
      <c r="Z2579" s="204" t="s">
        <v>64</v>
      </c>
      <c r="AA2579" s="204" t="s">
        <v>7628</v>
      </c>
      <c r="AB2579" s="204"/>
    </row>
    <row r="2580" spans="1:28" ht="33.5" customHeight="1">
      <c r="A2580" s="156" t="str">
        <f>'Reported burning'!A2580</f>
        <v>305k</v>
      </c>
      <c r="B2580" s="156" t="str">
        <f>'Reported burning'!B2580</f>
        <v>305k.4</v>
      </c>
      <c r="C2580" s="156" t="str">
        <f>'Reported burning'!C2580</f>
        <v>Human, deliberate</v>
      </c>
      <c r="D2580" s="156" t="str">
        <f>'Reported burning'!D2580</f>
        <v>Pyrome management</v>
      </c>
      <c r="E2580" s="156" t="str">
        <f>'Reported burning'!E2580</f>
        <v>Fire suppression agent</v>
      </c>
      <c r="F2580" s="156" t="str">
        <f>'Reported burning'!F2580</f>
        <v>ND</v>
      </c>
      <c r="G2580" s="156" t="str">
        <f>'Reported burning'!G2580</f>
        <v>ND</v>
      </c>
      <c r="H2580" s="156" t="str">
        <f>'Reported burning'!H2580</f>
        <v>Presence</v>
      </c>
      <c r="I2580" s="5">
        <f>'Reported burning'!I2580</f>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35</v>
      </c>
      <c r="Y2580" s="204" t="s">
        <v>38</v>
      </c>
      <c r="Z2580" s="204" t="s">
        <v>64</v>
      </c>
      <c r="AA2580" s="204" t="s">
        <v>7628</v>
      </c>
      <c r="AB2580" s="204"/>
    </row>
    <row r="2581" spans="1:28" ht="33.5" customHeight="1">
      <c r="A2581" s="156" t="str">
        <f>'Reported burning'!A2581</f>
        <v>305l</v>
      </c>
      <c r="B2581" s="156" t="str">
        <f>'Reported burning'!B2581</f>
        <v>305l.4</v>
      </c>
      <c r="C2581" s="156" t="str">
        <f>'Reported burning'!C2581</f>
        <v>Human, deliberate</v>
      </c>
      <c r="D2581" s="156" t="str">
        <f>'Reported burning'!D2581</f>
        <v>Pyrome management</v>
      </c>
      <c r="E2581" s="156" t="str">
        <f>'Reported burning'!E2581</f>
        <v>Fire suppression agent</v>
      </c>
      <c r="F2581" s="156" t="str">
        <f>'Reported burning'!F2581</f>
        <v>ND</v>
      </c>
      <c r="G2581" s="156" t="str">
        <f>'Reported burning'!G2581</f>
        <v>ND</v>
      </c>
      <c r="H2581" s="156" t="str">
        <f>'Reported burning'!H2581</f>
        <v>Presence</v>
      </c>
      <c r="I2581" s="5">
        <f>'Reported burning'!I2581</f>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35</v>
      </c>
      <c r="Y2581" s="204" t="s">
        <v>38</v>
      </c>
      <c r="Z2581" s="204" t="s">
        <v>64</v>
      </c>
      <c r="AA2581" s="204" t="s">
        <v>7628</v>
      </c>
      <c r="AB2581" s="204"/>
    </row>
    <row r="2582" spans="1:28" ht="33.5" customHeight="1">
      <c r="A2582" s="156" t="str">
        <f>'Reported burning'!A2582</f>
        <v>305m</v>
      </c>
      <c r="B2582" s="156" t="str">
        <f>'Reported burning'!B2582</f>
        <v>305m.4</v>
      </c>
      <c r="C2582" s="156" t="str">
        <f>'Reported burning'!C2582</f>
        <v>Human, deliberate</v>
      </c>
      <c r="D2582" s="156" t="str">
        <f>'Reported burning'!D2582</f>
        <v>Pyrome management</v>
      </c>
      <c r="E2582" s="156" t="str">
        <f>'Reported burning'!E2582</f>
        <v>Fire suppression agent</v>
      </c>
      <c r="F2582" s="156" t="str">
        <f>'Reported burning'!F2582</f>
        <v>ND</v>
      </c>
      <c r="G2582" s="156" t="str">
        <f>'Reported burning'!G2582</f>
        <v>ND</v>
      </c>
      <c r="H2582" s="156" t="str">
        <f>'Reported burning'!H2582</f>
        <v>Presence</v>
      </c>
      <c r="I2582" s="5">
        <f>'Reported burning'!I2582</f>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04" t="s">
        <v>2276</v>
      </c>
      <c r="U2582" s="204" t="s">
        <v>2276</v>
      </c>
      <c r="V2582" s="204" t="s">
        <v>2276</v>
      </c>
      <c r="W2582" s="204" t="s">
        <v>2276</v>
      </c>
      <c r="X2582" s="204" t="s">
        <v>35</v>
      </c>
      <c r="Y2582" s="204" t="s">
        <v>38</v>
      </c>
      <c r="Z2582" s="204" t="s">
        <v>64</v>
      </c>
      <c r="AA2582" s="204" t="s">
        <v>7628</v>
      </c>
      <c r="AB2582" s="204"/>
    </row>
    <row r="2583" spans="1:28" ht="33.5" customHeight="1">
      <c r="A2583" s="156" t="str">
        <f>'Reported burning'!A2583</f>
        <v>305i</v>
      </c>
      <c r="B2583" s="156" t="str">
        <f>'Reported burning'!B2583</f>
        <v>305i.5</v>
      </c>
      <c r="C2583" s="156" t="str">
        <f>'Reported burning'!C2583</f>
        <v>Human, deliberate</v>
      </c>
      <c r="D2583" s="156" t="str">
        <f>'Reported burning'!D2583</f>
        <v>Pyrome management</v>
      </c>
      <c r="E2583" s="156" t="str">
        <f>'Reported burning'!E2583</f>
        <v>Fire suppression agent</v>
      </c>
      <c r="F2583" s="156" t="str">
        <f>'Reported burning'!F2583</f>
        <v>ND</v>
      </c>
      <c r="G2583" s="156" t="str">
        <f>'Reported burning'!G2583</f>
        <v>ND</v>
      </c>
      <c r="H2583" s="156" t="str">
        <f>'Reported burning'!H2583</f>
        <v>Presence</v>
      </c>
      <c r="I2583" s="5">
        <f>'Reported burning'!I2583</f>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04" t="s">
        <v>2276</v>
      </c>
      <c r="U2583" s="204" t="s">
        <v>2276</v>
      </c>
      <c r="V2583" s="204" t="s">
        <v>2276</v>
      </c>
      <c r="W2583" s="204" t="s">
        <v>2276</v>
      </c>
      <c r="X2583" s="204" t="s">
        <v>35</v>
      </c>
      <c r="Y2583" s="204" t="s">
        <v>38</v>
      </c>
      <c r="Z2583" s="204" t="s">
        <v>64</v>
      </c>
      <c r="AA2583" s="204" t="s">
        <v>7628</v>
      </c>
      <c r="AB2583" s="204"/>
    </row>
    <row r="2584" spans="1:28" ht="33.5" customHeight="1">
      <c r="A2584" s="156" t="str">
        <f>'Reported burning'!A2584</f>
        <v>305j</v>
      </c>
      <c r="B2584" s="156" t="str">
        <f>'Reported burning'!B2584</f>
        <v>305j.5</v>
      </c>
      <c r="C2584" s="156" t="str">
        <f>'Reported burning'!C2584</f>
        <v>Human, deliberate</v>
      </c>
      <c r="D2584" s="156" t="str">
        <f>'Reported burning'!D2584</f>
        <v>Pyrome management</v>
      </c>
      <c r="E2584" s="156" t="str">
        <f>'Reported burning'!E2584</f>
        <v>Fire suppression agent</v>
      </c>
      <c r="F2584" s="156" t="str">
        <f>'Reported burning'!F2584</f>
        <v>ND</v>
      </c>
      <c r="G2584" s="156" t="str">
        <f>'Reported burning'!G2584</f>
        <v>ND</v>
      </c>
      <c r="H2584" s="156" t="str">
        <f>'Reported burning'!H2584</f>
        <v>Presence</v>
      </c>
      <c r="I2584" s="5">
        <f>'Reported burning'!I2584</f>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04" t="s">
        <v>2276</v>
      </c>
      <c r="U2584" s="204" t="s">
        <v>2276</v>
      </c>
      <c r="V2584" s="204" t="s">
        <v>2276</v>
      </c>
      <c r="W2584" s="204" t="s">
        <v>2276</v>
      </c>
      <c r="X2584" s="204" t="s">
        <v>35</v>
      </c>
      <c r="Y2584" s="204" t="s">
        <v>38</v>
      </c>
      <c r="Z2584" s="204" t="s">
        <v>64</v>
      </c>
      <c r="AA2584" s="204" t="s">
        <v>7628</v>
      </c>
      <c r="AB2584" s="204"/>
    </row>
    <row r="2585" spans="1:28" ht="33.5" customHeight="1">
      <c r="A2585" s="156" t="str">
        <f>'Reported burning'!A2585</f>
        <v>305k</v>
      </c>
      <c r="B2585" s="156" t="str">
        <f>'Reported burning'!B2585</f>
        <v>305k.5</v>
      </c>
      <c r="C2585" s="156" t="str">
        <f>'Reported burning'!C2585</f>
        <v>Human, deliberate</v>
      </c>
      <c r="D2585" s="156" t="str">
        <f>'Reported burning'!D2585</f>
        <v>Pyrome management</v>
      </c>
      <c r="E2585" s="156" t="str">
        <f>'Reported burning'!E2585</f>
        <v>Fire suppression agent</v>
      </c>
      <c r="F2585" s="156" t="str">
        <f>'Reported burning'!F2585</f>
        <v>ND</v>
      </c>
      <c r="G2585" s="156" t="str">
        <f>'Reported burning'!G2585</f>
        <v>ND</v>
      </c>
      <c r="H2585" s="156" t="str">
        <f>'Reported burning'!H2585</f>
        <v>Presence</v>
      </c>
      <c r="I2585" s="5">
        <f>'Reported burning'!I2585</f>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35</v>
      </c>
      <c r="Y2585" s="204" t="s">
        <v>38</v>
      </c>
      <c r="Z2585" s="204" t="s">
        <v>64</v>
      </c>
      <c r="AA2585" s="204" t="s">
        <v>7628</v>
      </c>
      <c r="AB2585" s="204"/>
    </row>
    <row r="2586" spans="1:28" ht="33.5" customHeight="1">
      <c r="A2586" s="156" t="str">
        <f>'Reported burning'!A2586</f>
        <v>305l</v>
      </c>
      <c r="B2586" s="156" t="str">
        <f>'Reported burning'!B2586</f>
        <v>305l.5</v>
      </c>
      <c r="C2586" s="156" t="str">
        <f>'Reported burning'!C2586</f>
        <v>Human, deliberate</v>
      </c>
      <c r="D2586" s="156" t="str">
        <f>'Reported burning'!D2586</f>
        <v>Pyrome management</v>
      </c>
      <c r="E2586" s="156" t="str">
        <f>'Reported burning'!E2586</f>
        <v>Fire suppression agent</v>
      </c>
      <c r="F2586" s="156" t="str">
        <f>'Reported burning'!F2586</f>
        <v>ND</v>
      </c>
      <c r="G2586" s="156" t="str">
        <f>'Reported burning'!G2586</f>
        <v>ND</v>
      </c>
      <c r="H2586" s="156" t="str">
        <f>'Reported burning'!H2586</f>
        <v>Presence</v>
      </c>
      <c r="I2586" s="5">
        <f>'Reported burning'!I2586</f>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35</v>
      </c>
      <c r="Y2586" s="204" t="s">
        <v>38</v>
      </c>
      <c r="Z2586" s="204" t="s">
        <v>64</v>
      </c>
      <c r="AA2586" s="204" t="s">
        <v>7628</v>
      </c>
      <c r="AB2586" s="204"/>
    </row>
    <row r="2587" spans="1:28" ht="33.5" customHeight="1">
      <c r="A2587" s="156" t="str">
        <f>'Reported burning'!A2587</f>
        <v>305m</v>
      </c>
      <c r="B2587" s="156" t="str">
        <f>'Reported burning'!B2587</f>
        <v>305m.5</v>
      </c>
      <c r="C2587" s="156" t="str">
        <f>'Reported burning'!C2587</f>
        <v>Human, deliberate</v>
      </c>
      <c r="D2587" s="156" t="str">
        <f>'Reported burning'!D2587</f>
        <v>Pyrome management</v>
      </c>
      <c r="E2587" s="156" t="str">
        <f>'Reported burning'!E2587</f>
        <v>Fire suppression agent</v>
      </c>
      <c r="F2587" s="156" t="str">
        <f>'Reported burning'!F2587</f>
        <v>ND</v>
      </c>
      <c r="G2587" s="156" t="str">
        <f>'Reported burning'!G2587</f>
        <v>ND</v>
      </c>
      <c r="H2587" s="156" t="str">
        <f>'Reported burning'!H2587</f>
        <v>Presence</v>
      </c>
      <c r="I2587" s="5">
        <f>'Reported burning'!I2587</f>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04" t="s">
        <v>2276</v>
      </c>
      <c r="U2587" s="204" t="s">
        <v>2276</v>
      </c>
      <c r="V2587" s="204" t="s">
        <v>2276</v>
      </c>
      <c r="W2587" s="204" t="s">
        <v>2276</v>
      </c>
      <c r="X2587" s="204" t="s">
        <v>35</v>
      </c>
      <c r="Y2587" s="204" t="s">
        <v>38</v>
      </c>
      <c r="Z2587" s="204" t="s">
        <v>64</v>
      </c>
      <c r="AA2587" s="204" t="s">
        <v>7628</v>
      </c>
      <c r="AB2587" s="204"/>
    </row>
    <row r="2588" spans="1:28" ht="33.5" customHeight="1">
      <c r="A2588" s="156" t="str">
        <f>'Reported burning'!A2588</f>
        <v>305i</v>
      </c>
      <c r="B2588" s="156" t="str">
        <f>'Reported burning'!B2588</f>
        <v>305i.6</v>
      </c>
      <c r="C2588" s="156" t="str">
        <f>'Reported burning'!C2588</f>
        <v>Human, deliberate</v>
      </c>
      <c r="D2588" s="156" t="str">
        <f>'Reported burning'!D2588</f>
        <v>Pyrome management</v>
      </c>
      <c r="E2588" s="156" t="str">
        <f>'Reported burning'!E2588</f>
        <v>Fire suppression agent</v>
      </c>
      <c r="F2588" s="156" t="str">
        <f>'Reported burning'!F2588</f>
        <v>ND</v>
      </c>
      <c r="G2588" s="156" t="str">
        <f>'Reported burning'!G2588</f>
        <v>ND</v>
      </c>
      <c r="H2588" s="156" t="str">
        <f>'Reported burning'!H2588</f>
        <v>Presence</v>
      </c>
      <c r="I2588" s="5">
        <f>'Reported burning'!I2588</f>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35</v>
      </c>
      <c r="Y2588" s="204" t="s">
        <v>38</v>
      </c>
      <c r="Z2588" s="204" t="s">
        <v>64</v>
      </c>
      <c r="AA2588" s="204" t="s">
        <v>7628</v>
      </c>
      <c r="AB2588" s="204"/>
    </row>
    <row r="2589" spans="1:28" ht="33.5" customHeight="1">
      <c r="A2589" s="156" t="str">
        <f>'Reported burning'!A2589</f>
        <v>305j</v>
      </c>
      <c r="B2589" s="156" t="str">
        <f>'Reported burning'!B2589</f>
        <v>305j.6</v>
      </c>
      <c r="C2589" s="156" t="str">
        <f>'Reported burning'!C2589</f>
        <v>Human, deliberate</v>
      </c>
      <c r="D2589" s="156" t="str">
        <f>'Reported burning'!D2589</f>
        <v>Pyrome management</v>
      </c>
      <c r="E2589" s="156" t="str">
        <f>'Reported burning'!E2589</f>
        <v>Fire suppression agent</v>
      </c>
      <c r="F2589" s="156" t="str">
        <f>'Reported burning'!F2589</f>
        <v>ND</v>
      </c>
      <c r="G2589" s="156" t="str">
        <f>'Reported burning'!G2589</f>
        <v>ND</v>
      </c>
      <c r="H2589" s="156" t="str">
        <f>'Reported burning'!H2589</f>
        <v>Presence</v>
      </c>
      <c r="I2589" s="5">
        <f>'Reported burning'!I2589</f>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35</v>
      </c>
      <c r="Y2589" s="204" t="s">
        <v>38</v>
      </c>
      <c r="Z2589" s="204" t="s">
        <v>64</v>
      </c>
      <c r="AA2589" s="204" t="s">
        <v>7628</v>
      </c>
      <c r="AB2589" s="204"/>
    </row>
    <row r="2590" spans="1:28" ht="33.5" customHeight="1">
      <c r="A2590" s="156" t="str">
        <f>'Reported burning'!A2590</f>
        <v>305k</v>
      </c>
      <c r="B2590" s="156" t="str">
        <f>'Reported burning'!B2590</f>
        <v>305k.6</v>
      </c>
      <c r="C2590" s="156" t="str">
        <f>'Reported burning'!C2590</f>
        <v>Human, deliberate</v>
      </c>
      <c r="D2590" s="156" t="str">
        <f>'Reported burning'!D2590</f>
        <v>Pyrome management</v>
      </c>
      <c r="E2590" s="156" t="str">
        <f>'Reported burning'!E2590</f>
        <v>Fire suppression agent</v>
      </c>
      <c r="F2590" s="156" t="str">
        <f>'Reported burning'!F2590</f>
        <v>ND</v>
      </c>
      <c r="G2590" s="156" t="str">
        <f>'Reported burning'!G2590</f>
        <v>ND</v>
      </c>
      <c r="H2590" s="156" t="str">
        <f>'Reported burning'!H2590</f>
        <v>Presence</v>
      </c>
      <c r="I2590" s="5">
        <f>'Reported burning'!I2590</f>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35</v>
      </c>
      <c r="Y2590" s="204" t="s">
        <v>38</v>
      </c>
      <c r="Z2590" s="204" t="s">
        <v>64</v>
      </c>
      <c r="AA2590" s="204" t="s">
        <v>7628</v>
      </c>
      <c r="AB2590" s="204"/>
    </row>
    <row r="2591" spans="1:28" ht="33.5" customHeight="1">
      <c r="A2591" s="156" t="str">
        <f>'Reported burning'!A2591</f>
        <v>305l</v>
      </c>
      <c r="B2591" s="156" t="str">
        <f>'Reported burning'!B2591</f>
        <v>305l.6</v>
      </c>
      <c r="C2591" s="156" t="str">
        <f>'Reported burning'!C2591</f>
        <v>Human, deliberate</v>
      </c>
      <c r="D2591" s="156" t="str">
        <f>'Reported burning'!D2591</f>
        <v>Pyrome management</v>
      </c>
      <c r="E2591" s="156" t="str">
        <f>'Reported burning'!E2591</f>
        <v>Fire suppression agent</v>
      </c>
      <c r="F2591" s="156" t="str">
        <f>'Reported burning'!F2591</f>
        <v>ND</v>
      </c>
      <c r="G2591" s="156" t="str">
        <f>'Reported burning'!G2591</f>
        <v>ND</v>
      </c>
      <c r="H2591" s="156" t="str">
        <f>'Reported burning'!H2591</f>
        <v>Presence</v>
      </c>
      <c r="I2591" s="5">
        <f>'Reported burning'!I2591</f>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35</v>
      </c>
      <c r="Y2591" s="204" t="s">
        <v>38</v>
      </c>
      <c r="Z2591" s="204" t="s">
        <v>64</v>
      </c>
      <c r="AA2591" s="204" t="s">
        <v>7628</v>
      </c>
      <c r="AB2591" s="204"/>
    </row>
    <row r="2592" spans="1:28" ht="33.5" customHeight="1">
      <c r="A2592" s="156" t="str">
        <f>'Reported burning'!A2592</f>
        <v>305m</v>
      </c>
      <c r="B2592" s="156" t="str">
        <f>'Reported burning'!B2592</f>
        <v>305m.6</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Presence</v>
      </c>
      <c r="I2592" s="5">
        <f>'Reported burning'!I2592</f>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35</v>
      </c>
      <c r="Y2592" s="204" t="s">
        <v>38</v>
      </c>
      <c r="Z2592" s="204" t="s">
        <v>64</v>
      </c>
      <c r="AA2592" s="204" t="s">
        <v>7628</v>
      </c>
      <c r="AB2592" s="204"/>
    </row>
    <row r="2593" spans="1:28" ht="33.5" customHeight="1">
      <c r="A2593" s="156" t="str">
        <f>'Reported burning'!A2593</f>
        <v>305i</v>
      </c>
      <c r="B2593" s="156" t="str">
        <f>'Reported burning'!B2593</f>
        <v>305i.7</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Presence</v>
      </c>
      <c r="I2593" s="5">
        <f>'Reported burning'!I2593</f>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35</v>
      </c>
      <c r="Y2593" s="204" t="s">
        <v>38</v>
      </c>
      <c r="Z2593" s="204" t="s">
        <v>64</v>
      </c>
      <c r="AA2593" s="204" t="s">
        <v>7628</v>
      </c>
      <c r="AB2593" s="204"/>
    </row>
    <row r="2594" spans="1:28" ht="33.5" customHeight="1">
      <c r="A2594" s="156" t="str">
        <f>'Reported burning'!A2594</f>
        <v>305j</v>
      </c>
      <c r="B2594" s="156" t="str">
        <f>'Reported burning'!B2594</f>
        <v>305j.7</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Presence</v>
      </c>
      <c r="I2594" s="5">
        <f>'Reported burning'!I2594</f>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35</v>
      </c>
      <c r="Y2594" s="204" t="s">
        <v>38</v>
      </c>
      <c r="Z2594" s="204" t="s">
        <v>64</v>
      </c>
      <c r="AA2594" s="204" t="s">
        <v>7628</v>
      </c>
      <c r="AB2594" s="204"/>
    </row>
    <row r="2595" spans="1:28" ht="33.5" customHeight="1">
      <c r="A2595" s="156" t="str">
        <f>'Reported burning'!A2595</f>
        <v>305k</v>
      </c>
      <c r="B2595" s="156" t="str">
        <f>'Reported burning'!B2595</f>
        <v>305k.7</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Presence</v>
      </c>
      <c r="I2595" s="5">
        <f>'Reported burning'!I2595</f>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35</v>
      </c>
      <c r="Y2595" s="204" t="s">
        <v>38</v>
      </c>
      <c r="Z2595" s="204" t="s">
        <v>64</v>
      </c>
      <c r="AA2595" s="204" t="s">
        <v>7628</v>
      </c>
      <c r="AB2595" s="204"/>
    </row>
    <row r="2596" spans="1:28" ht="33.5" customHeight="1">
      <c r="A2596" s="156" t="str">
        <f>'Reported burning'!A2596</f>
        <v>305l</v>
      </c>
      <c r="B2596" s="156" t="str">
        <f>'Reported burning'!B2596</f>
        <v>305l.7</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Presence</v>
      </c>
      <c r="I2596" s="5">
        <f>'Reported burning'!I2596</f>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35</v>
      </c>
      <c r="Y2596" s="204" t="s">
        <v>38</v>
      </c>
      <c r="Z2596" s="204" t="s">
        <v>64</v>
      </c>
      <c r="AA2596" s="204" t="s">
        <v>7628</v>
      </c>
      <c r="AB2596" s="204"/>
    </row>
    <row r="2597" spans="1:28" ht="33.5" customHeight="1">
      <c r="A2597" s="156" t="str">
        <f>'Reported burning'!A2597</f>
        <v>305m</v>
      </c>
      <c r="B2597" s="156" t="str">
        <f>'Reported burning'!B2597</f>
        <v>305m.7</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Presence</v>
      </c>
      <c r="I2597" s="5">
        <f>'Reported burning'!I2597</f>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35</v>
      </c>
      <c r="Y2597" s="204" t="s">
        <v>38</v>
      </c>
      <c r="Z2597" s="204" t="s">
        <v>64</v>
      </c>
      <c r="AA2597" s="204" t="s">
        <v>7628</v>
      </c>
      <c r="AB2597" s="204"/>
    </row>
    <row r="2598" spans="1:28" ht="33.5" customHeight="1">
      <c r="A2598" s="156" t="str">
        <f>'Reported burning'!A2598</f>
        <v>305i</v>
      </c>
      <c r="B2598" s="156" t="str">
        <f>'Reported burning'!B2598</f>
        <v>305i.8</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Presence</v>
      </c>
      <c r="I2598" s="5">
        <f>'Reported burning'!I2598</f>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35</v>
      </c>
      <c r="Y2598" s="204" t="s">
        <v>38</v>
      </c>
      <c r="Z2598" s="204" t="s">
        <v>64</v>
      </c>
      <c r="AA2598" s="204" t="s">
        <v>7628</v>
      </c>
      <c r="AB2598" s="204"/>
    </row>
    <row r="2599" spans="1:28" ht="33.5" customHeight="1">
      <c r="A2599" s="156" t="str">
        <f>'Reported burning'!A2599</f>
        <v>305j</v>
      </c>
      <c r="B2599" s="156" t="str">
        <f>'Reported burning'!B2599</f>
        <v>305j.8</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Presence</v>
      </c>
      <c r="I2599" s="5">
        <f>'Reported burning'!I2599</f>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35</v>
      </c>
      <c r="Y2599" s="204" t="s">
        <v>38</v>
      </c>
      <c r="Z2599" s="204" t="s">
        <v>64</v>
      </c>
      <c r="AA2599" s="204" t="s">
        <v>7628</v>
      </c>
      <c r="AB2599" s="204"/>
    </row>
    <row r="2600" spans="1:28" ht="33.5" customHeight="1">
      <c r="A2600" s="156" t="str">
        <f>'Reported burning'!A2600</f>
        <v>305k</v>
      </c>
      <c r="B2600" s="156" t="str">
        <f>'Reported burning'!B2600</f>
        <v>305k.8</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7628</v>
      </c>
      <c r="AB2600" s="204"/>
    </row>
    <row r="2601" spans="1:28" ht="33.5" customHeight="1">
      <c r="A2601" s="156" t="str">
        <f>'Reported burning'!A2601</f>
        <v>305l</v>
      </c>
      <c r="B2601" s="156" t="str">
        <f>'Reported burning'!B2601</f>
        <v>305l.8</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7628</v>
      </c>
      <c r="AB2601" s="204"/>
    </row>
    <row r="2602" spans="1:28" ht="33.5" customHeight="1">
      <c r="A2602" s="156" t="str">
        <f>'Reported burning'!A2602</f>
        <v>305m</v>
      </c>
      <c r="B2602" s="156" t="str">
        <f>'Reported burning'!B2602</f>
        <v>305m.8</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7628</v>
      </c>
      <c r="AB2602" s="204"/>
    </row>
    <row r="2603" spans="1:28" ht="33.5" customHeight="1">
      <c r="A2603" s="156" t="str">
        <f>'Reported burning'!A2603</f>
        <v>305i</v>
      </c>
      <c r="B2603" s="156" t="str">
        <f>'Reported burning'!B2603</f>
        <v>305i.9</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7628</v>
      </c>
      <c r="AB2603" s="204"/>
    </row>
    <row r="2604" spans="1:28" ht="33.5" customHeight="1">
      <c r="A2604" s="156" t="str">
        <f>'Reported burning'!A2604</f>
        <v>305j</v>
      </c>
      <c r="B2604" s="156" t="str">
        <f>'Reported burning'!B2604</f>
        <v>305j.9</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7628</v>
      </c>
      <c r="AB2604" s="204"/>
    </row>
    <row r="2605" spans="1:28" ht="33.5" customHeight="1">
      <c r="A2605" s="156" t="str">
        <f>'Reported burning'!A2605</f>
        <v>305k</v>
      </c>
      <c r="B2605" s="156" t="str">
        <f>'Reported burning'!B2605</f>
        <v>305k.9</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7628</v>
      </c>
      <c r="AB2605" s="204"/>
    </row>
    <row r="2606" spans="1:28" ht="33.5" customHeight="1">
      <c r="A2606" s="156" t="str">
        <f>'Reported burning'!A2606</f>
        <v>305l</v>
      </c>
      <c r="B2606" s="156" t="str">
        <f>'Reported burning'!B2606</f>
        <v>305l.9</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7628</v>
      </c>
      <c r="AB2606" s="204"/>
    </row>
    <row r="2607" spans="1:28" ht="33.5" customHeight="1">
      <c r="A2607" s="156" t="str">
        <f>'Reported burning'!A2607</f>
        <v>305m</v>
      </c>
      <c r="B2607" s="156" t="str">
        <f>'Reported burning'!B2607</f>
        <v>305m.9</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7628</v>
      </c>
      <c r="AB2607" s="204"/>
    </row>
    <row r="2608" spans="1:28" ht="33.5" customHeight="1">
      <c r="A2608" s="156" t="str">
        <f>'Reported burning'!A2608</f>
        <v>305i</v>
      </c>
      <c r="B2608" s="156" t="str">
        <f>'Reported burning'!B2608</f>
        <v>305i.10</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7628</v>
      </c>
      <c r="AB2608" s="204"/>
    </row>
    <row r="2609" spans="1:28" ht="33.5" customHeight="1">
      <c r="A2609" s="156" t="str">
        <f>'Reported burning'!A2609</f>
        <v>305j</v>
      </c>
      <c r="B2609" s="156" t="str">
        <f>'Reported burning'!B2609</f>
        <v>305j.10</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7628</v>
      </c>
      <c r="AB2609" s="204"/>
    </row>
    <row r="2610" spans="1:28" ht="33.5" customHeight="1">
      <c r="A2610" s="156" t="str">
        <f>'Reported burning'!A2610</f>
        <v>305k</v>
      </c>
      <c r="B2610" s="156" t="str">
        <f>'Reported burning'!B2610</f>
        <v>305k.10</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7628</v>
      </c>
      <c r="AB2610" s="204"/>
    </row>
    <row r="2611" spans="1:28" ht="33.5" customHeight="1">
      <c r="A2611" s="156" t="str">
        <f>'Reported burning'!A2611</f>
        <v>305l</v>
      </c>
      <c r="B2611" s="156" t="str">
        <f>'Reported burning'!B2611</f>
        <v>305l.10</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7628</v>
      </c>
      <c r="AB2611" s="204"/>
    </row>
    <row r="2612" spans="1:28" ht="33.5" customHeight="1">
      <c r="A2612" s="156" t="str">
        <f>'Reported burning'!A2612</f>
        <v>305m</v>
      </c>
      <c r="B2612" s="156" t="str">
        <f>'Reported burning'!B2612</f>
        <v>305m.10</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7628</v>
      </c>
      <c r="AB2612" s="204"/>
    </row>
    <row r="2613" spans="1:28" ht="33.5" customHeight="1">
      <c r="A2613" s="156" t="str">
        <f>'Reported burning'!A2613</f>
        <v>305i</v>
      </c>
      <c r="B2613" s="156" t="str">
        <f>'Reported burning'!B2613</f>
        <v>305i.11</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7628</v>
      </c>
      <c r="AB2613" s="204"/>
    </row>
    <row r="2614" spans="1:28" ht="33.5" customHeight="1">
      <c r="A2614" s="156" t="str">
        <f>'Reported burning'!A2614</f>
        <v>305j</v>
      </c>
      <c r="B2614" s="156" t="str">
        <f>'Reported burning'!B2614</f>
        <v>305j.11</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7628</v>
      </c>
      <c r="AB2614" s="204"/>
    </row>
    <row r="2615" spans="1:28" ht="33.5" customHeight="1">
      <c r="A2615" s="156" t="str">
        <f>'Reported burning'!A2615</f>
        <v>305k</v>
      </c>
      <c r="B2615" s="156" t="str">
        <f>'Reported burning'!B2615</f>
        <v>305k.11</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7628</v>
      </c>
      <c r="AB2615" s="204"/>
    </row>
    <row r="2616" spans="1:28" ht="33.5" customHeight="1">
      <c r="A2616" s="156" t="str">
        <f>'Reported burning'!A2616</f>
        <v>305l</v>
      </c>
      <c r="B2616" s="156" t="str">
        <f>'Reported burning'!B2616</f>
        <v>305l.11</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7628</v>
      </c>
      <c r="AB2616" s="204"/>
    </row>
    <row r="2617" spans="1:28" ht="33.5" customHeight="1">
      <c r="A2617" s="156" t="str">
        <f>'Reported burning'!A2617</f>
        <v>305m</v>
      </c>
      <c r="B2617" s="156" t="str">
        <f>'Reported burning'!B2617</f>
        <v>305m.11</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7628</v>
      </c>
      <c r="AB2617" s="204"/>
    </row>
    <row r="2618" spans="1:28" ht="33.5" customHeight="1">
      <c r="A2618" s="156" t="str">
        <f>'Reported burning'!A2618</f>
        <v>305i</v>
      </c>
      <c r="B2618" s="156" t="str">
        <f>'Reported burning'!B2618</f>
        <v>305i.12</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7628</v>
      </c>
      <c r="AB2618" s="204"/>
    </row>
    <row r="2619" spans="1:28" ht="33.5" customHeight="1">
      <c r="A2619" s="156" t="str">
        <f>'Reported burning'!A2619</f>
        <v>305j</v>
      </c>
      <c r="B2619" s="156" t="str">
        <f>'Reported burning'!B2619</f>
        <v>305j.12</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7628</v>
      </c>
      <c r="AB2619" s="204"/>
    </row>
    <row r="2620" spans="1:28" ht="33.5" customHeight="1">
      <c r="A2620" s="156" t="str">
        <f>'Reported burning'!A2620</f>
        <v>305k</v>
      </c>
      <c r="B2620" s="156" t="str">
        <f>'Reported burning'!B2620</f>
        <v>305k.12</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7628</v>
      </c>
      <c r="AB2620" s="204"/>
    </row>
    <row r="2621" spans="1:28" ht="33.5" customHeight="1">
      <c r="A2621" s="156" t="str">
        <f>'Reported burning'!A2621</f>
        <v>305l</v>
      </c>
      <c r="B2621" s="156" t="str">
        <f>'Reported burning'!B2621</f>
        <v>305l.12</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7628</v>
      </c>
      <c r="AB2621" s="204"/>
    </row>
    <row r="2622" spans="1:28" ht="33.5" customHeight="1">
      <c r="A2622" s="156" t="str">
        <f>'Reported burning'!A2622</f>
        <v>305m</v>
      </c>
      <c r="B2622" s="156" t="str">
        <f>'Reported burning'!B2622</f>
        <v>305m.12</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7628</v>
      </c>
      <c r="AB2622" s="204"/>
    </row>
    <row r="2623" spans="1:28" ht="33.5" customHeight="1">
      <c r="A2623" s="156" t="str">
        <f>'Reported burning'!A2623</f>
        <v>305i</v>
      </c>
      <c r="B2623" s="156" t="str">
        <f>'Reported burning'!B2623</f>
        <v>305i.13</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7628</v>
      </c>
      <c r="AB2623" s="204"/>
    </row>
    <row r="2624" spans="1:28" ht="33.5" customHeight="1">
      <c r="A2624" s="156" t="str">
        <f>'Reported burning'!A2624</f>
        <v>305j</v>
      </c>
      <c r="B2624" s="156" t="str">
        <f>'Reported burning'!B2624</f>
        <v>305j.13</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7628</v>
      </c>
      <c r="AB2624" s="204"/>
    </row>
    <row r="2625" spans="1:28" ht="33.5" customHeight="1">
      <c r="A2625" s="156" t="str">
        <f>'Reported burning'!A2625</f>
        <v>305k</v>
      </c>
      <c r="B2625" s="156" t="str">
        <f>'Reported burning'!B2625</f>
        <v>305k.13</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7628</v>
      </c>
      <c r="AB2625" s="204"/>
    </row>
    <row r="2626" spans="1:28" ht="33.5" customHeight="1">
      <c r="A2626" s="156" t="str">
        <f>'Reported burning'!A2626</f>
        <v>305l</v>
      </c>
      <c r="B2626" s="156" t="str">
        <f>'Reported burning'!B2626</f>
        <v>305l.13</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7628</v>
      </c>
      <c r="AB2626" s="204"/>
    </row>
    <row r="2627" spans="1:28" ht="33.5" customHeight="1">
      <c r="A2627" s="156" t="str">
        <f>'Reported burning'!A2627</f>
        <v>305m</v>
      </c>
      <c r="B2627" s="156" t="str">
        <f>'Reported burning'!B2627</f>
        <v>305m.13</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7628</v>
      </c>
      <c r="AB2627" s="204"/>
    </row>
    <row r="2628" spans="1:28" ht="33.5" customHeight="1">
      <c r="A2628" s="156" t="str">
        <f>'Reported burning'!A2628</f>
        <v>305i</v>
      </c>
      <c r="B2628" s="156" t="str">
        <f>'Reported burning'!B2628</f>
        <v>305i.14</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7628</v>
      </c>
      <c r="AB2628" s="204"/>
    </row>
    <row r="2629" spans="1:28" ht="33.5" customHeight="1">
      <c r="A2629" s="156" t="str">
        <f>'Reported burning'!A2629</f>
        <v>305j</v>
      </c>
      <c r="B2629" s="156" t="str">
        <f>'Reported burning'!B2629</f>
        <v>305j.14</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7628</v>
      </c>
      <c r="AB2629" s="204"/>
    </row>
    <row r="2630" spans="1:28" ht="33.5" customHeight="1">
      <c r="A2630" s="156" t="str">
        <f>'Reported burning'!A2630</f>
        <v>305k</v>
      </c>
      <c r="B2630" s="156" t="str">
        <f>'Reported burning'!B2630</f>
        <v>305k.14</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7628</v>
      </c>
      <c r="AB2630" s="204"/>
    </row>
    <row r="2631" spans="1:28" ht="33.5" customHeight="1">
      <c r="A2631" s="156" t="str">
        <f>'Reported burning'!A2631</f>
        <v>305l</v>
      </c>
      <c r="B2631" s="156" t="str">
        <f>'Reported burning'!B2631</f>
        <v>305l.14</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7628</v>
      </c>
      <c r="AB2631" s="204"/>
    </row>
    <row r="2632" spans="1:28" ht="33.5" customHeight="1">
      <c r="A2632" s="156" t="str">
        <f>'Reported burning'!A2632</f>
        <v>305m</v>
      </c>
      <c r="B2632" s="156" t="str">
        <f>'Reported burning'!B2632</f>
        <v>305m.14</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7628</v>
      </c>
      <c r="AB2632" s="204"/>
    </row>
    <row r="2633" spans="1:28" ht="33.5" customHeight="1">
      <c r="A2633" s="156" t="str">
        <f>'Reported burning'!A2633</f>
        <v>305i</v>
      </c>
      <c r="B2633" s="156" t="str">
        <f>'Reported burning'!B2633</f>
        <v>305i.15</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7628</v>
      </c>
      <c r="AB2633" s="204"/>
    </row>
    <row r="2634" spans="1:28" ht="33.5" customHeight="1">
      <c r="A2634" s="156" t="str">
        <f>'Reported burning'!A2634</f>
        <v>305j</v>
      </c>
      <c r="B2634" s="156" t="str">
        <f>'Reported burning'!B2634</f>
        <v>305j.15</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7628</v>
      </c>
      <c r="AB2634" s="204"/>
    </row>
    <row r="2635" spans="1:28" ht="33.5" customHeight="1">
      <c r="A2635" s="156" t="str">
        <f>'Reported burning'!A2635</f>
        <v>305k</v>
      </c>
      <c r="B2635" s="156" t="str">
        <f>'Reported burning'!B2635</f>
        <v>305k.15</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7628</v>
      </c>
      <c r="AB2635" s="204"/>
    </row>
    <row r="2636" spans="1:28" ht="33.5" customHeight="1">
      <c r="A2636" s="156" t="str">
        <f>'Reported burning'!A2636</f>
        <v>305l</v>
      </c>
      <c r="B2636" s="156" t="str">
        <f>'Reported burning'!B2636</f>
        <v>305l.15</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7628</v>
      </c>
      <c r="AB2636" s="204"/>
    </row>
    <row r="2637" spans="1:28" ht="33.5" customHeight="1">
      <c r="A2637" s="156" t="str">
        <f>'Reported burning'!A2637</f>
        <v>305m</v>
      </c>
      <c r="B2637" s="156" t="str">
        <f>'Reported burning'!B2637</f>
        <v>305m.15</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7628</v>
      </c>
      <c r="AB2637" s="204"/>
    </row>
    <row r="2638" spans="1:28" ht="33.5" customHeight="1">
      <c r="A2638" s="156" t="str">
        <f>'Reported burning'!A2638</f>
        <v>305n</v>
      </c>
      <c r="B2638" s="156" t="str">
        <f>'Reported burning'!B2638</f>
        <v>305n.1</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38" t="s">
        <v>68</v>
      </c>
      <c r="Y2638" s="204" t="s">
        <v>86</v>
      </c>
      <c r="Z2638" s="203" t="s">
        <v>76</v>
      </c>
      <c r="AA2638" s="204"/>
      <c r="AB2638" s="204"/>
    </row>
    <row r="2639" spans="1:28" ht="33.5" customHeight="1">
      <c r="A2639" s="156" t="str">
        <f>'Reported burning'!A2639</f>
        <v>305o</v>
      </c>
      <c r="B2639" s="156" t="str">
        <f>'Reported burning'!B2639</f>
        <v>305o.1</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68</v>
      </c>
      <c r="Y2639" s="204" t="s">
        <v>86</v>
      </c>
      <c r="Z2639" s="204" t="s">
        <v>76</v>
      </c>
      <c r="AA2639" s="204"/>
      <c r="AB2639" s="204"/>
    </row>
    <row r="2640" spans="1:28" ht="34.5" customHeight="1">
      <c r="A2640" s="156" t="str">
        <f>'Reported burning'!A2640</f>
        <v>305p</v>
      </c>
      <c r="B2640" s="156" t="str">
        <f>'Reported burning'!B2640</f>
        <v>305p.1</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68</v>
      </c>
      <c r="Y2640" s="204" t="s">
        <v>86</v>
      </c>
      <c r="Z2640" s="204" t="s">
        <v>76</v>
      </c>
      <c r="AA2640" s="204"/>
      <c r="AB2640" s="204"/>
    </row>
    <row r="2641" spans="1:28" ht="34.5" customHeight="1">
      <c r="A2641" s="156" t="str">
        <f>'Reported burning'!A2641</f>
        <v>305q</v>
      </c>
      <c r="B2641" s="156" t="str">
        <f>'Reported burning'!B2641</f>
        <v>305q.1</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68</v>
      </c>
      <c r="Y2641" s="204" t="s">
        <v>86</v>
      </c>
      <c r="Z2641" s="204" t="s">
        <v>76</v>
      </c>
      <c r="AA2641" s="204"/>
      <c r="AB2641" s="204"/>
    </row>
    <row r="2642" spans="1:28" ht="34.5" customHeight="1">
      <c r="A2642" s="156" t="str">
        <f>'Reported burning'!A2642</f>
        <v>305r</v>
      </c>
      <c r="B2642" s="156" t="str">
        <f>'Reported burning'!B2642</f>
        <v>305r.1</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Absence</v>
      </c>
      <c r="I2642" s="5"/>
      <c r="J2642" s="14" t="s">
        <v>2364</v>
      </c>
      <c r="K2642" s="14" t="s">
        <v>2364</v>
      </c>
      <c r="L2642" s="14" t="s">
        <v>2364</v>
      </c>
      <c r="M2642" s="14" t="s">
        <v>2364</v>
      </c>
      <c r="N2642" s="14" t="s">
        <v>2364</v>
      </c>
      <c r="O2642" s="14" t="s">
        <v>2364</v>
      </c>
      <c r="P2642" s="14" t="s">
        <v>2364</v>
      </c>
      <c r="Q2642" s="14" t="s">
        <v>2364</v>
      </c>
      <c r="R2642" s="14" t="s">
        <v>2364</v>
      </c>
      <c r="S2642" s="14" t="s">
        <v>2364</v>
      </c>
      <c r="T2642" s="14" t="s">
        <v>2364</v>
      </c>
      <c r="U2642" s="14" t="s">
        <v>2364</v>
      </c>
      <c r="V2642" s="14" t="s">
        <v>2364</v>
      </c>
      <c r="W2642" s="204" t="s">
        <v>2276</v>
      </c>
      <c r="X2642" s="204" t="s">
        <v>68</v>
      </c>
      <c r="Y2642" s="204" t="s">
        <v>86</v>
      </c>
      <c r="Z2642" s="204" t="s">
        <v>76</v>
      </c>
      <c r="AA2642" s="204"/>
      <c r="AB2642" s="204"/>
    </row>
    <row r="2643" spans="1:28" ht="34.5" customHeight="1">
      <c r="A2643" s="156" t="str">
        <f>'Reported burning'!A2643</f>
        <v>305s</v>
      </c>
      <c r="B2643" s="156" t="str">
        <f>'Reported burning'!B2643</f>
        <v>305s.1</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Absence</v>
      </c>
      <c r="I2643" s="5"/>
      <c r="J2643" s="14" t="s">
        <v>2364</v>
      </c>
      <c r="K2643" s="14" t="s">
        <v>2364</v>
      </c>
      <c r="L2643" s="14" t="s">
        <v>2364</v>
      </c>
      <c r="M2643" s="14" t="s">
        <v>2364</v>
      </c>
      <c r="N2643" s="14" t="s">
        <v>2364</v>
      </c>
      <c r="O2643" s="14" t="s">
        <v>2364</v>
      </c>
      <c r="P2643" s="14" t="s">
        <v>2364</v>
      </c>
      <c r="Q2643" s="14" t="s">
        <v>2364</v>
      </c>
      <c r="R2643" s="14" t="s">
        <v>2364</v>
      </c>
      <c r="S2643" s="14" t="s">
        <v>2364</v>
      </c>
      <c r="T2643" s="14" t="s">
        <v>2364</v>
      </c>
      <c r="U2643" s="14" t="s">
        <v>2364</v>
      </c>
      <c r="V2643" s="14" t="s">
        <v>2364</v>
      </c>
      <c r="W2643" s="204" t="s">
        <v>2276</v>
      </c>
      <c r="X2643" s="204" t="s">
        <v>68</v>
      </c>
      <c r="Y2643" s="204" t="s">
        <v>86</v>
      </c>
      <c r="Z2643" s="204" t="s">
        <v>76</v>
      </c>
      <c r="AA2643" s="204"/>
      <c r="AB2643" s="204"/>
    </row>
    <row r="2644" spans="1:28" ht="34.5" customHeight="1">
      <c r="A2644" s="156" t="str">
        <f>'Reported burning'!A2644</f>
        <v>305t</v>
      </c>
      <c r="B2644" s="156" t="str">
        <f>'Reported burning'!B2644</f>
        <v>305t.1</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Absence</v>
      </c>
      <c r="I2644" s="5"/>
      <c r="J2644" s="14" t="s">
        <v>2364</v>
      </c>
      <c r="K2644" s="14" t="s">
        <v>2364</v>
      </c>
      <c r="L2644" s="14" t="s">
        <v>2364</v>
      </c>
      <c r="M2644" s="14" t="s">
        <v>2364</v>
      </c>
      <c r="N2644" s="14" t="s">
        <v>2364</v>
      </c>
      <c r="O2644" s="14" t="s">
        <v>2364</v>
      </c>
      <c r="P2644" s="14" t="s">
        <v>2364</v>
      </c>
      <c r="Q2644" s="14" t="s">
        <v>2364</v>
      </c>
      <c r="R2644" s="14" t="s">
        <v>2364</v>
      </c>
      <c r="S2644" s="14" t="s">
        <v>2364</v>
      </c>
      <c r="T2644" s="14" t="s">
        <v>2364</v>
      </c>
      <c r="U2644" s="14" t="s">
        <v>2364</v>
      </c>
      <c r="V2644" s="14" t="s">
        <v>2364</v>
      </c>
      <c r="W2644" s="204" t="s">
        <v>2276</v>
      </c>
      <c r="X2644" s="204" t="s">
        <v>68</v>
      </c>
      <c r="Y2644" s="204" t="s">
        <v>86</v>
      </c>
      <c r="Z2644" s="204" t="s">
        <v>76</v>
      </c>
      <c r="AA2644" s="204"/>
      <c r="AB2644" s="204"/>
    </row>
    <row r="2645" spans="1:28" ht="34.5" customHeight="1">
      <c r="A2645" s="156" t="str">
        <f>'Reported burning'!A2645</f>
        <v>305u</v>
      </c>
      <c r="B2645" s="156" t="str">
        <f>'Reported burning'!B2645</f>
        <v>305u.1</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68</v>
      </c>
      <c r="Y2645" s="204" t="s">
        <v>86</v>
      </c>
      <c r="Z2645" s="204" t="s">
        <v>76</v>
      </c>
      <c r="AA2645" s="204"/>
      <c r="AB2645" s="204"/>
    </row>
    <row r="2646" spans="1:28" ht="34.5" customHeight="1">
      <c r="A2646" s="156" t="str">
        <f>'Reported burning'!A2646</f>
        <v>305v</v>
      </c>
      <c r="B2646" s="156" t="str">
        <f>'Reported burning'!B2646</f>
        <v>305v.1</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68</v>
      </c>
      <c r="Y2646" s="204" t="s">
        <v>86</v>
      </c>
      <c r="Z2646" s="204" t="s">
        <v>76</v>
      </c>
      <c r="AA2646" s="204"/>
      <c r="AB2646" s="204"/>
    </row>
    <row r="2647" spans="1:28" ht="34.5" customHeight="1">
      <c r="A2647" s="156" t="str">
        <f>'Reported burning'!A2647</f>
        <v>305w</v>
      </c>
      <c r="B2647" s="156" t="str">
        <f>'Reported burning'!B2647</f>
        <v>305w.1</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68</v>
      </c>
      <c r="Y2647" s="204" t="s">
        <v>86</v>
      </c>
      <c r="Z2647" s="204" t="s">
        <v>76</v>
      </c>
      <c r="AA2647" s="204"/>
      <c r="AB2647" s="204"/>
    </row>
    <row r="2648" spans="1:28" ht="34.5" customHeight="1">
      <c r="A2648" s="156" t="str">
        <f>'Reported burning'!A2648</f>
        <v>305x</v>
      </c>
      <c r="B2648" s="156" t="str">
        <f>'Reported burning'!B2648</f>
        <v>305x.1</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68</v>
      </c>
      <c r="Y2648" s="204" t="s">
        <v>86</v>
      </c>
      <c r="Z2648" s="204" t="s">
        <v>76</v>
      </c>
      <c r="AA2648" s="204"/>
      <c r="AB2648" s="204"/>
    </row>
    <row r="2649" spans="1:28" ht="34.5" customHeight="1">
      <c r="A2649" s="156" t="str">
        <f>'Reported burning'!A2649</f>
        <v>305y</v>
      </c>
      <c r="B2649" s="156" t="str">
        <f>'Reported burning'!B2649</f>
        <v>305y.1</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68</v>
      </c>
      <c r="Y2649" s="204" t="s">
        <v>86</v>
      </c>
      <c r="Z2649" s="204" t="s">
        <v>76</v>
      </c>
      <c r="AA2649" s="204"/>
      <c r="AB2649" s="204"/>
    </row>
    <row r="2650" spans="1:28" ht="34.5" customHeight="1">
      <c r="A2650" s="156" t="str">
        <f>'Reported burning'!A2650</f>
        <v>305z</v>
      </c>
      <c r="B2650" s="156" t="str">
        <f>'Reported burning'!B2650</f>
        <v>305z.1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68</v>
      </c>
      <c r="Y2650" s="204" t="s">
        <v>86</v>
      </c>
      <c r="Z2650" s="204" t="s">
        <v>76</v>
      </c>
      <c r="AA2650" s="204"/>
      <c r="AB2650" s="204"/>
    </row>
    <row r="2651" spans="1:28" ht="34.5" customHeight="1">
      <c r="A2651" s="156" t="str">
        <f>'Reported burning'!A2651</f>
        <v>305aa</v>
      </c>
      <c r="B2651" s="156" t="str">
        <f>'Reported burning'!B2651</f>
        <v>305aa.1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68</v>
      </c>
      <c r="Y2651" s="204" t="s">
        <v>86</v>
      </c>
      <c r="Z2651" s="204" t="s">
        <v>76</v>
      </c>
      <c r="AA2651" s="204"/>
      <c r="AB2651" s="204"/>
    </row>
    <row r="2652" spans="1:28" ht="34.5" customHeight="1">
      <c r="A2652" s="156" t="str">
        <f>'Reported burning'!A2652</f>
        <v>305ab</v>
      </c>
      <c r="B2652" s="156" t="str">
        <f>'Reported burning'!B2652</f>
        <v>305ab.1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68</v>
      </c>
      <c r="Y2652" s="204" t="s">
        <v>86</v>
      </c>
      <c r="Z2652" s="204" t="s">
        <v>76</v>
      </c>
      <c r="AA2652" s="204"/>
      <c r="AB2652" s="204"/>
    </row>
    <row r="2653" spans="1:28" ht="34.5" customHeight="1">
      <c r="A2653" s="156" t="str">
        <f>'Reported burning'!A2653</f>
        <v>305ac</v>
      </c>
      <c r="B2653" s="156" t="str">
        <f>'Reported burning'!B2653</f>
        <v>305ac.1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68</v>
      </c>
      <c r="Y2653" s="204" t="s">
        <v>86</v>
      </c>
      <c r="Z2653" s="204" t="s">
        <v>76</v>
      </c>
      <c r="AA2653" s="204"/>
      <c r="AB2653" s="204"/>
    </row>
    <row r="2654" spans="1:28" ht="34.5" customHeight="1">
      <c r="A2654" s="156" t="str">
        <f>'Reported burning'!A2654</f>
        <v>305ad</v>
      </c>
      <c r="B2654" s="156" t="str">
        <f>'Reported burning'!B2654</f>
        <v>305ad.1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68</v>
      </c>
      <c r="Y2654" s="204" t="s">
        <v>86</v>
      </c>
      <c r="Z2654" s="204" t="s">
        <v>76</v>
      </c>
      <c r="AA2654" s="204"/>
      <c r="AB2654" s="204"/>
    </row>
    <row r="2655" spans="1:28" ht="34.5" customHeight="1">
      <c r="A2655" s="156" t="str">
        <f>'Reported burning'!A2655</f>
        <v>305ae</v>
      </c>
      <c r="B2655" s="156" t="str">
        <f>'Reported burning'!B2655</f>
        <v>305ae.1</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68</v>
      </c>
      <c r="Y2655" s="204" t="s">
        <v>86</v>
      </c>
      <c r="Z2655" s="204" t="s">
        <v>76</v>
      </c>
      <c r="AA2655" s="204"/>
      <c r="AB2655" s="204"/>
    </row>
    <row r="2656" spans="1:28" ht="34.5" customHeight="1">
      <c r="A2656" s="156" t="str">
        <f>'Reported burning'!A2656</f>
        <v>305n</v>
      </c>
      <c r="B2656" s="156" t="str">
        <f>'Reported burning'!B2656</f>
        <v>305n.2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68</v>
      </c>
      <c r="Y2656" s="204" t="s">
        <v>86</v>
      </c>
      <c r="Z2656" s="204" t="s">
        <v>76</v>
      </c>
      <c r="AA2656" s="204"/>
      <c r="AB2656" s="204"/>
    </row>
    <row r="2657" spans="1:28" ht="34.5" customHeight="1">
      <c r="A2657" s="156" t="str">
        <f>'Reported burning'!A2657</f>
        <v>305o</v>
      </c>
      <c r="B2657" s="156" t="str">
        <f>'Reported burning'!B2657</f>
        <v>305o.2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68</v>
      </c>
      <c r="Y2657" s="204" t="s">
        <v>86</v>
      </c>
      <c r="Z2657" s="204" t="s">
        <v>76</v>
      </c>
      <c r="AA2657" s="204"/>
      <c r="AB2657" s="204"/>
    </row>
    <row r="2658" spans="1:28" ht="34.5" customHeight="1">
      <c r="A2658" s="156" t="str">
        <f>'Reported burning'!A2658</f>
        <v>305p</v>
      </c>
      <c r="B2658" s="156" t="str">
        <f>'Reported burning'!B2658</f>
        <v>305p.2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68</v>
      </c>
      <c r="Y2658" s="204" t="s">
        <v>86</v>
      </c>
      <c r="Z2658" s="204" t="s">
        <v>76</v>
      </c>
      <c r="AA2658" s="204"/>
      <c r="AB2658" s="204"/>
    </row>
    <row r="2659" spans="1:28" ht="34.5" customHeight="1">
      <c r="A2659" s="156" t="str">
        <f>'Reported burning'!A2659</f>
        <v>305q</v>
      </c>
      <c r="B2659" s="156" t="str">
        <f>'Reported burning'!B2659</f>
        <v>305q.2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68</v>
      </c>
      <c r="Y2659" s="204" t="s">
        <v>86</v>
      </c>
      <c r="Z2659" s="204" t="s">
        <v>76</v>
      </c>
      <c r="AA2659" s="204"/>
      <c r="AB2659" s="204"/>
    </row>
    <row r="2660" spans="1:28" ht="34.5" customHeight="1">
      <c r="A2660" s="156" t="str">
        <f>'Reported burning'!A2660</f>
        <v>305r</v>
      </c>
      <c r="B2660" s="156" t="str">
        <f>'Reported burning'!B2660</f>
        <v>305r.2</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Absence</v>
      </c>
      <c r="I2660" s="5"/>
      <c r="J2660" s="14" t="s">
        <v>2364</v>
      </c>
      <c r="K2660" s="14" t="s">
        <v>2364</v>
      </c>
      <c r="L2660" s="14" t="s">
        <v>2364</v>
      </c>
      <c r="M2660" s="14" t="s">
        <v>2364</v>
      </c>
      <c r="N2660" s="14" t="s">
        <v>2364</v>
      </c>
      <c r="O2660" s="14" t="s">
        <v>2364</v>
      </c>
      <c r="P2660" s="14" t="s">
        <v>2364</v>
      </c>
      <c r="Q2660" s="14" t="s">
        <v>2364</v>
      </c>
      <c r="R2660" s="14" t="s">
        <v>2364</v>
      </c>
      <c r="S2660" s="14" t="s">
        <v>2364</v>
      </c>
      <c r="T2660" s="14" t="s">
        <v>2364</v>
      </c>
      <c r="U2660" s="14" t="s">
        <v>2364</v>
      </c>
      <c r="V2660" s="14" t="s">
        <v>2364</v>
      </c>
      <c r="W2660" s="204" t="s">
        <v>2276</v>
      </c>
      <c r="X2660" s="204" t="s">
        <v>68</v>
      </c>
      <c r="Y2660" s="204" t="s">
        <v>86</v>
      </c>
      <c r="Z2660" s="204" t="s">
        <v>76</v>
      </c>
      <c r="AA2660" s="204"/>
      <c r="AB2660" s="204"/>
    </row>
    <row r="2661" spans="1:28" ht="34.5" customHeight="1">
      <c r="A2661" s="156" t="str">
        <f>'Reported burning'!A2661</f>
        <v>305s</v>
      </c>
      <c r="B2661" s="156" t="str">
        <f>'Reported burning'!B2661</f>
        <v>305s.2</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Absence</v>
      </c>
      <c r="I2661" s="5"/>
      <c r="J2661" s="14" t="s">
        <v>2364</v>
      </c>
      <c r="K2661" s="14" t="s">
        <v>2364</v>
      </c>
      <c r="L2661" s="14" t="s">
        <v>2364</v>
      </c>
      <c r="M2661" s="14" t="s">
        <v>2364</v>
      </c>
      <c r="N2661" s="14" t="s">
        <v>2364</v>
      </c>
      <c r="O2661" s="14" t="s">
        <v>2364</v>
      </c>
      <c r="P2661" s="14" t="s">
        <v>2364</v>
      </c>
      <c r="Q2661" s="14" t="s">
        <v>2364</v>
      </c>
      <c r="R2661" s="14" t="s">
        <v>2364</v>
      </c>
      <c r="S2661" s="14" t="s">
        <v>2364</v>
      </c>
      <c r="T2661" s="14" t="s">
        <v>2364</v>
      </c>
      <c r="U2661" s="14" t="s">
        <v>2364</v>
      </c>
      <c r="V2661" s="14" t="s">
        <v>2364</v>
      </c>
      <c r="W2661" s="204" t="s">
        <v>2276</v>
      </c>
      <c r="X2661" s="204" t="s">
        <v>68</v>
      </c>
      <c r="Y2661" s="204" t="s">
        <v>86</v>
      </c>
      <c r="Z2661" s="204" t="s">
        <v>76</v>
      </c>
      <c r="AA2661" s="204"/>
      <c r="AB2661" s="204"/>
    </row>
    <row r="2662" spans="1:28" ht="34.5" customHeight="1">
      <c r="A2662" s="156" t="str">
        <f>'Reported burning'!A2662</f>
        <v>305t</v>
      </c>
      <c r="B2662" s="156" t="str">
        <f>'Reported burning'!B2662</f>
        <v>305t.2</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Absence</v>
      </c>
      <c r="I2662" s="5"/>
      <c r="J2662" s="14" t="s">
        <v>2364</v>
      </c>
      <c r="K2662" s="14" t="s">
        <v>2364</v>
      </c>
      <c r="L2662" s="14" t="s">
        <v>2364</v>
      </c>
      <c r="M2662" s="14" t="s">
        <v>2364</v>
      </c>
      <c r="N2662" s="14" t="s">
        <v>2364</v>
      </c>
      <c r="O2662" s="14" t="s">
        <v>2364</v>
      </c>
      <c r="P2662" s="14" t="s">
        <v>2364</v>
      </c>
      <c r="Q2662" s="14" t="s">
        <v>2364</v>
      </c>
      <c r="R2662" s="14" t="s">
        <v>2364</v>
      </c>
      <c r="S2662" s="14" t="s">
        <v>2364</v>
      </c>
      <c r="T2662" s="14" t="s">
        <v>2364</v>
      </c>
      <c r="U2662" s="14" t="s">
        <v>2364</v>
      </c>
      <c r="V2662" s="14" t="s">
        <v>2364</v>
      </c>
      <c r="W2662" s="204" t="s">
        <v>2276</v>
      </c>
      <c r="X2662" s="204" t="s">
        <v>68</v>
      </c>
      <c r="Y2662" s="204" t="s">
        <v>86</v>
      </c>
      <c r="Z2662" s="204" t="s">
        <v>76</v>
      </c>
      <c r="AA2662" s="204"/>
      <c r="AB2662" s="204"/>
    </row>
    <row r="2663" spans="1:28" ht="34.5" customHeight="1">
      <c r="A2663" s="156" t="str">
        <f>'Reported burning'!A2663</f>
        <v>305u</v>
      </c>
      <c r="B2663" s="156" t="str">
        <f>'Reported burning'!B2663</f>
        <v>305u.2</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68</v>
      </c>
      <c r="Y2663" s="204" t="s">
        <v>86</v>
      </c>
      <c r="Z2663" s="204" t="s">
        <v>76</v>
      </c>
      <c r="AA2663" s="204"/>
      <c r="AB2663" s="204"/>
    </row>
    <row r="2664" spans="1:28" ht="34.5" customHeight="1">
      <c r="A2664" s="156" t="str">
        <f>'Reported burning'!A2664</f>
        <v>305v</v>
      </c>
      <c r="B2664" s="156" t="str">
        <f>'Reported burning'!B2664</f>
        <v>305v.2</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68</v>
      </c>
      <c r="Y2664" s="204" t="s">
        <v>86</v>
      </c>
      <c r="Z2664" s="204" t="s">
        <v>76</v>
      </c>
      <c r="AA2664" s="204"/>
      <c r="AB2664" s="204"/>
    </row>
    <row r="2665" spans="1:28" ht="34.5" customHeight="1">
      <c r="A2665" s="156" t="str">
        <f>'Reported burning'!A2665</f>
        <v>305w</v>
      </c>
      <c r="B2665" s="156" t="str">
        <f>'Reported burning'!B2665</f>
        <v>305w.2</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68</v>
      </c>
      <c r="Y2665" s="204" t="s">
        <v>86</v>
      </c>
      <c r="Z2665" s="204" t="s">
        <v>76</v>
      </c>
      <c r="AA2665" s="204"/>
      <c r="AB2665" s="204"/>
    </row>
    <row r="2666" spans="1:28" ht="34.5" customHeight="1">
      <c r="A2666" s="156" t="str">
        <f>'Reported burning'!A2666</f>
        <v>305x</v>
      </c>
      <c r="B2666" s="156" t="str">
        <f>'Reported burning'!B2666</f>
        <v>305x.2</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68</v>
      </c>
      <c r="Y2666" s="204" t="s">
        <v>86</v>
      </c>
      <c r="Z2666" s="204" t="s">
        <v>76</v>
      </c>
      <c r="AA2666" s="204"/>
      <c r="AB2666" s="204"/>
    </row>
    <row r="2667" spans="1:28" ht="34.5" customHeight="1">
      <c r="A2667" s="156" t="str">
        <f>'Reported burning'!A2667</f>
        <v>305y</v>
      </c>
      <c r="B2667" s="156" t="str">
        <f>'Reported burning'!B2667</f>
        <v>305y.2</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68</v>
      </c>
      <c r="Y2667" s="204" t="s">
        <v>86</v>
      </c>
      <c r="Z2667" s="204" t="s">
        <v>76</v>
      </c>
      <c r="AA2667" s="204"/>
      <c r="AB2667" s="204"/>
    </row>
    <row r="2668" spans="1:28" ht="34.5" customHeight="1">
      <c r="A2668" s="156" t="str">
        <f>'Reported burning'!A2668</f>
        <v>305z</v>
      </c>
      <c r="B2668" s="156" t="str">
        <f>'Reported burning'!B2668</f>
        <v>305z.2</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68</v>
      </c>
      <c r="Y2668" s="204" t="s">
        <v>86</v>
      </c>
      <c r="Z2668" s="204" t="s">
        <v>76</v>
      </c>
      <c r="AA2668" s="204"/>
      <c r="AB2668" s="204"/>
    </row>
    <row r="2669" spans="1:28" ht="34.5" customHeight="1">
      <c r="A2669" s="156" t="str">
        <f>'Reported burning'!A2669</f>
        <v>305aa</v>
      </c>
      <c r="B2669" s="156" t="str">
        <f>'Reported burning'!B2669</f>
        <v>305aa.2</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68</v>
      </c>
      <c r="Y2669" s="204" t="s">
        <v>86</v>
      </c>
      <c r="Z2669" s="204" t="s">
        <v>76</v>
      </c>
      <c r="AA2669" s="204"/>
      <c r="AB2669" s="204"/>
    </row>
    <row r="2670" spans="1:28" ht="34.5" customHeight="1">
      <c r="A2670" s="156" t="str">
        <f>'Reported burning'!A2670</f>
        <v>305ab</v>
      </c>
      <c r="B2670" s="156" t="str">
        <f>'Reported burning'!B2670</f>
        <v>305ab.2</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68</v>
      </c>
      <c r="Y2670" s="204" t="s">
        <v>86</v>
      </c>
      <c r="Z2670" s="204" t="s">
        <v>76</v>
      </c>
      <c r="AA2670" s="204"/>
      <c r="AB2670" s="204"/>
    </row>
    <row r="2671" spans="1:28" ht="34.5" customHeight="1">
      <c r="A2671" s="156" t="str">
        <f>'Reported burning'!A2671</f>
        <v>305ac</v>
      </c>
      <c r="B2671" s="156" t="str">
        <f>'Reported burning'!B2671</f>
        <v>305ac.2</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68</v>
      </c>
      <c r="Y2671" s="204" t="s">
        <v>86</v>
      </c>
      <c r="Z2671" s="204" t="s">
        <v>76</v>
      </c>
      <c r="AA2671" s="204"/>
      <c r="AB2671" s="204"/>
    </row>
    <row r="2672" spans="1:28" ht="34.5" customHeight="1">
      <c r="A2672" s="156" t="str">
        <f>'Reported burning'!A2672</f>
        <v>305ad</v>
      </c>
      <c r="B2672" s="156" t="str">
        <f>'Reported burning'!B2672</f>
        <v>305ad.2</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68</v>
      </c>
      <c r="Y2672" s="204" t="s">
        <v>86</v>
      </c>
      <c r="Z2672" s="204" t="s">
        <v>76</v>
      </c>
      <c r="AA2672" s="204"/>
      <c r="AB2672" s="204"/>
    </row>
    <row r="2673" spans="1:28" ht="34.5" customHeight="1">
      <c r="A2673" s="156" t="str">
        <f>'Reported burning'!A2673</f>
        <v>305ae</v>
      </c>
      <c r="B2673" s="156" t="str">
        <f>'Reported burning'!B2673</f>
        <v>305ae.2</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68</v>
      </c>
      <c r="Y2673" s="204" t="s">
        <v>86</v>
      </c>
      <c r="Z2673" s="204" t="s">
        <v>76</v>
      </c>
      <c r="AA2673" s="204"/>
      <c r="AB2673" s="204"/>
    </row>
    <row r="2674" spans="1:28" ht="34.5" customHeight="1">
      <c r="A2674" s="156" t="str">
        <f>'Reported burning'!A2674</f>
        <v>305n</v>
      </c>
      <c r="B2674" s="156" t="str">
        <f>'Reported burning'!B2674</f>
        <v>305n.3</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68</v>
      </c>
      <c r="Y2674" s="204" t="s">
        <v>86</v>
      </c>
      <c r="Z2674" s="204" t="s">
        <v>76</v>
      </c>
      <c r="AA2674" s="204"/>
      <c r="AB2674" s="204"/>
    </row>
    <row r="2675" spans="1:28" ht="34.5" customHeight="1">
      <c r="A2675" s="156" t="str">
        <f>'Reported burning'!A2675</f>
        <v>305o</v>
      </c>
      <c r="B2675" s="156" t="str">
        <f>'Reported burning'!B2675</f>
        <v>305o.3</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204" t="s">
        <v>68</v>
      </c>
      <c r="Y2675" s="204" t="s">
        <v>86</v>
      </c>
      <c r="Z2675" s="204" t="s">
        <v>76</v>
      </c>
      <c r="AA2675" s="204"/>
      <c r="AB2675" s="204"/>
    </row>
    <row r="2676" spans="1:28" ht="34.5" customHeight="1">
      <c r="A2676" s="156" t="str">
        <f>'Reported burning'!A2676</f>
        <v>305p</v>
      </c>
      <c r="B2676" s="156" t="str">
        <f>'Reported burning'!B2676</f>
        <v>305p.3</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305q</v>
      </c>
      <c r="B2677" s="156" t="str">
        <f>'Reported burning'!B2677</f>
        <v>305q.3</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305r</v>
      </c>
      <c r="B2678" s="156" t="str">
        <f>'Reported burning'!B2678</f>
        <v>305r.3</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Absence</v>
      </c>
      <c r="I2678" s="5"/>
      <c r="J2678" s="14" t="s">
        <v>2364</v>
      </c>
      <c r="K2678" s="14" t="s">
        <v>2364</v>
      </c>
      <c r="L2678" s="14" t="s">
        <v>2364</v>
      </c>
      <c r="M2678" s="14" t="s">
        <v>2364</v>
      </c>
      <c r="N2678" s="14" t="s">
        <v>2364</v>
      </c>
      <c r="O2678" s="14" t="s">
        <v>2364</v>
      </c>
      <c r="P2678" s="14" t="s">
        <v>2364</v>
      </c>
      <c r="Q2678" s="14" t="s">
        <v>2364</v>
      </c>
      <c r="R2678" s="14" t="s">
        <v>2364</v>
      </c>
      <c r="S2678" s="14" t="s">
        <v>2364</v>
      </c>
      <c r="T2678" s="14" t="s">
        <v>2364</v>
      </c>
      <c r="U2678" s="14" t="s">
        <v>2364</v>
      </c>
      <c r="V2678" s="14" t="s">
        <v>2364</v>
      </c>
      <c r="W2678" s="204" t="s">
        <v>2276</v>
      </c>
      <c r="X2678" s="204" t="s">
        <v>68</v>
      </c>
      <c r="Y2678" s="204" t="s">
        <v>86</v>
      </c>
      <c r="Z2678" s="204" t="s">
        <v>76</v>
      </c>
      <c r="AA2678" s="204"/>
      <c r="AB2678" s="204"/>
    </row>
    <row r="2679" spans="1:28" ht="34.5" customHeight="1">
      <c r="A2679" s="156" t="str">
        <f>'Reported burning'!A2679</f>
        <v>305s</v>
      </c>
      <c r="B2679" s="156" t="str">
        <f>'Reported burning'!B2679</f>
        <v>305s.3</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2364</v>
      </c>
      <c r="K2679" s="14" t="s">
        <v>2364</v>
      </c>
      <c r="L2679" s="14" t="s">
        <v>2364</v>
      </c>
      <c r="M2679" s="14" t="s">
        <v>2364</v>
      </c>
      <c r="N2679" s="14" t="s">
        <v>2364</v>
      </c>
      <c r="O2679" s="14" t="s">
        <v>2364</v>
      </c>
      <c r="P2679" s="14" t="s">
        <v>2364</v>
      </c>
      <c r="Q2679" s="14" t="s">
        <v>2364</v>
      </c>
      <c r="R2679" s="14" t="s">
        <v>2364</v>
      </c>
      <c r="S2679" s="14" t="s">
        <v>2364</v>
      </c>
      <c r="T2679" s="14" t="s">
        <v>2364</v>
      </c>
      <c r="U2679" s="14" t="s">
        <v>2364</v>
      </c>
      <c r="V2679" s="14" t="s">
        <v>2364</v>
      </c>
      <c r="W2679" s="204" t="s">
        <v>2276</v>
      </c>
      <c r="X2679" s="204" t="s">
        <v>68</v>
      </c>
      <c r="Y2679" s="204" t="s">
        <v>86</v>
      </c>
      <c r="Z2679" s="204" t="s">
        <v>76</v>
      </c>
      <c r="AA2679" s="204"/>
      <c r="AB2679" s="204"/>
    </row>
    <row r="2680" spans="1:28" ht="34.5" customHeight="1">
      <c r="A2680" s="156" t="str">
        <f>'Reported burning'!A2680</f>
        <v>305t</v>
      </c>
      <c r="B2680" s="156" t="str">
        <f>'Reported burning'!B2680</f>
        <v>305t.3</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2364</v>
      </c>
      <c r="K2680" s="14" t="s">
        <v>2364</v>
      </c>
      <c r="L2680" s="14" t="s">
        <v>2364</v>
      </c>
      <c r="M2680" s="14" t="s">
        <v>2364</v>
      </c>
      <c r="N2680" s="14" t="s">
        <v>2364</v>
      </c>
      <c r="O2680" s="14" t="s">
        <v>2364</v>
      </c>
      <c r="P2680" s="14" t="s">
        <v>2364</v>
      </c>
      <c r="Q2680" s="14" t="s">
        <v>2364</v>
      </c>
      <c r="R2680" s="14" t="s">
        <v>2364</v>
      </c>
      <c r="S2680" s="14" t="s">
        <v>2364</v>
      </c>
      <c r="T2680" s="14" t="s">
        <v>2364</v>
      </c>
      <c r="U2680" s="14" t="s">
        <v>2364</v>
      </c>
      <c r="V2680" s="14" t="s">
        <v>2364</v>
      </c>
      <c r="W2680" s="204" t="s">
        <v>2276</v>
      </c>
      <c r="X2680" s="204" t="s">
        <v>68</v>
      </c>
      <c r="Y2680" s="204" t="s">
        <v>86</v>
      </c>
      <c r="Z2680" s="204" t="s">
        <v>76</v>
      </c>
      <c r="AA2680" s="204"/>
      <c r="AB2680" s="204"/>
    </row>
    <row r="2681" spans="1:28" ht="34.5" customHeight="1">
      <c r="A2681" s="156" t="str">
        <f>'Reported burning'!A2681</f>
        <v>305u</v>
      </c>
      <c r="B2681" s="156" t="str">
        <f>'Reported burning'!B2681</f>
        <v>305u.3</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Presence</v>
      </c>
      <c r="I2681" s="5"/>
      <c r="J2681" s="204" t="s">
        <v>2276</v>
      </c>
      <c r="K2681" s="204" t="s">
        <v>2276</v>
      </c>
      <c r="L2681" s="204" t="s">
        <v>2276</v>
      </c>
      <c r="M2681" s="204" t="s">
        <v>2276</v>
      </c>
      <c r="N2681" s="204" t="s">
        <v>2276</v>
      </c>
      <c r="O2681" s="204" t="s">
        <v>2276</v>
      </c>
      <c r="P2681" s="204" t="s">
        <v>2276</v>
      </c>
      <c r="Q2681" s="204" t="s">
        <v>2276</v>
      </c>
      <c r="R2681" s="204" t="s">
        <v>2276</v>
      </c>
      <c r="S2681" s="204" t="s">
        <v>2276</v>
      </c>
      <c r="T2681" s="204" t="s">
        <v>2276</v>
      </c>
      <c r="U2681" s="204" t="s">
        <v>2276</v>
      </c>
      <c r="V2681" s="204" t="s">
        <v>2276</v>
      </c>
      <c r="W2681" s="204" t="s">
        <v>2276</v>
      </c>
      <c r="X2681" s="204" t="s">
        <v>68</v>
      </c>
      <c r="Y2681" s="204" t="s">
        <v>86</v>
      </c>
      <c r="Z2681" s="204" t="s">
        <v>76</v>
      </c>
      <c r="AA2681" s="204"/>
      <c r="AB2681" s="204"/>
    </row>
    <row r="2682" spans="1:28" ht="34.5" customHeight="1">
      <c r="A2682" s="156" t="str">
        <f>'Reported burning'!A2682</f>
        <v>305v</v>
      </c>
      <c r="B2682" s="156" t="str">
        <f>'Reported burning'!B2682</f>
        <v>305v.3</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305w</v>
      </c>
      <c r="B2683" s="156" t="str">
        <f>'Reported burning'!B2683</f>
        <v>305w.3</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305x</v>
      </c>
      <c r="B2684" s="156" t="str">
        <f>'Reported burning'!B2684</f>
        <v>305x.3</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305y</v>
      </c>
      <c r="B2685" s="156" t="str">
        <f>'Reported burning'!B2685</f>
        <v>305y.3</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305z</v>
      </c>
      <c r="B2686" s="156" t="str">
        <f>'Reported burning'!B2686</f>
        <v>305z.3</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305aa</v>
      </c>
      <c r="B2687" s="156" t="str">
        <f>'Reported burning'!B2687</f>
        <v>305aa.3</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305ab</v>
      </c>
      <c r="B2688" s="156" t="str">
        <f>'Reported burning'!B2688</f>
        <v>305ab.3</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305ac</v>
      </c>
      <c r="B2689" s="156" t="str">
        <f>'Reported burning'!B2689</f>
        <v>305ac.3</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305ad</v>
      </c>
      <c r="B2690" s="156" t="str">
        <f>'Reported burning'!B2690</f>
        <v>305ad.3</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305ae</v>
      </c>
      <c r="B2691" s="156" t="str">
        <f>'Reported burning'!B2691</f>
        <v>305ae.3</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305n</v>
      </c>
      <c r="B2692" s="156" t="str">
        <f>'Reported burning'!B2692</f>
        <v>305n.4</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305o</v>
      </c>
      <c r="B2693" s="156" t="str">
        <f>'Reported burning'!B2693</f>
        <v>305o.4</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305p</v>
      </c>
      <c r="B2694" s="156" t="str">
        <f>'Reported burning'!B2694</f>
        <v>305p.4</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305q</v>
      </c>
      <c r="B2695" s="156" t="str">
        <f>'Reported burning'!B2695</f>
        <v>305q.4</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305r</v>
      </c>
      <c r="B2696" s="156" t="str">
        <f>'Reported burning'!B2696</f>
        <v>305r.4</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Absence</v>
      </c>
      <c r="I2696" s="5"/>
      <c r="J2696" s="14" t="s">
        <v>2364</v>
      </c>
      <c r="K2696" s="14" t="s">
        <v>2364</v>
      </c>
      <c r="L2696" s="14" t="s">
        <v>2364</v>
      </c>
      <c r="M2696" s="14" t="s">
        <v>2364</v>
      </c>
      <c r="N2696" s="14" t="s">
        <v>2364</v>
      </c>
      <c r="O2696" s="14" t="s">
        <v>2364</v>
      </c>
      <c r="P2696" s="14" t="s">
        <v>2364</v>
      </c>
      <c r="Q2696" s="14" t="s">
        <v>2364</v>
      </c>
      <c r="R2696" s="14" t="s">
        <v>2364</v>
      </c>
      <c r="S2696" s="14" t="s">
        <v>2364</v>
      </c>
      <c r="T2696" s="14" t="s">
        <v>2364</v>
      </c>
      <c r="U2696" s="14" t="s">
        <v>2364</v>
      </c>
      <c r="V2696" s="14" t="s">
        <v>2364</v>
      </c>
      <c r="W2696" s="204" t="s">
        <v>2276</v>
      </c>
      <c r="X2696" s="204" t="s">
        <v>68</v>
      </c>
      <c r="Y2696" s="204" t="s">
        <v>86</v>
      </c>
      <c r="Z2696" s="204" t="s">
        <v>76</v>
      </c>
      <c r="AA2696" s="204"/>
      <c r="AB2696" s="204"/>
    </row>
    <row r="2697" spans="1:28" ht="34.5" customHeight="1">
      <c r="A2697" s="156" t="str">
        <f>'Reported burning'!A2697</f>
        <v>305s</v>
      </c>
      <c r="B2697" s="156" t="str">
        <f>'Reported burning'!B2697</f>
        <v>305s.4</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305t</v>
      </c>
      <c r="B2698" s="156" t="str">
        <f>'Reported burning'!B2698</f>
        <v>305t.4</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305u</v>
      </c>
      <c r="B2699" s="156" t="str">
        <f>'Reported burning'!B2699</f>
        <v>305u.4</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Presence</v>
      </c>
      <c r="I2699" s="5"/>
      <c r="J2699" s="204" t="s">
        <v>2276</v>
      </c>
      <c r="K2699" s="204" t="s">
        <v>2276</v>
      </c>
      <c r="L2699" s="204" t="s">
        <v>2276</v>
      </c>
      <c r="M2699" s="204" t="s">
        <v>2276</v>
      </c>
      <c r="N2699" s="204" t="s">
        <v>2276</v>
      </c>
      <c r="O2699" s="204" t="s">
        <v>2276</v>
      </c>
      <c r="P2699" s="204" t="s">
        <v>2276</v>
      </c>
      <c r="Q2699" s="204" t="s">
        <v>2276</v>
      </c>
      <c r="R2699" s="204" t="s">
        <v>2276</v>
      </c>
      <c r="S2699" s="204" t="s">
        <v>2276</v>
      </c>
      <c r="T2699" s="204" t="s">
        <v>2276</v>
      </c>
      <c r="U2699" s="204" t="s">
        <v>2276</v>
      </c>
      <c r="V2699" s="204" t="s">
        <v>2276</v>
      </c>
      <c r="W2699" s="204" t="s">
        <v>2276</v>
      </c>
      <c r="X2699" s="204" t="s">
        <v>68</v>
      </c>
      <c r="Y2699" s="204" t="s">
        <v>86</v>
      </c>
      <c r="Z2699" s="204" t="s">
        <v>76</v>
      </c>
      <c r="AA2699" s="204"/>
      <c r="AB2699" s="204"/>
    </row>
    <row r="2700" spans="1:28" ht="34.5" customHeight="1">
      <c r="A2700" s="156" t="str">
        <f>'Reported burning'!A2700</f>
        <v>305v</v>
      </c>
      <c r="B2700" s="156" t="str">
        <f>'Reported burning'!B2700</f>
        <v>305v.4</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305w</v>
      </c>
      <c r="B2701" s="156" t="str">
        <f>'Reported burning'!B2701</f>
        <v>305w.4</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305x</v>
      </c>
      <c r="B2702" s="156" t="str">
        <f>'Reported burning'!B2702</f>
        <v>305x.4</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305y</v>
      </c>
      <c r="B2703" s="156" t="str">
        <f>'Reported burning'!B2703</f>
        <v>305y.4</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305z</v>
      </c>
      <c r="B2704" s="156" t="str">
        <f>'Reported burning'!B2704</f>
        <v>305z.4</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305aa</v>
      </c>
      <c r="B2705" s="156" t="str">
        <f>'Reported burning'!B2705</f>
        <v>305aa.4</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305ab</v>
      </c>
      <c r="B2706" s="156" t="str">
        <f>'Reported burning'!B2706</f>
        <v>305ab.4</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305ac</v>
      </c>
      <c r="B2707" s="156" t="str">
        <f>'Reported burning'!B2707</f>
        <v>305ac.4</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305ad</v>
      </c>
      <c r="B2708" s="156" t="str">
        <f>'Reported burning'!B2708</f>
        <v>305ad.4</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305ae</v>
      </c>
      <c r="B2709" s="156" t="str">
        <f>'Reported burning'!B2709</f>
        <v>305ae.4</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305n</v>
      </c>
      <c r="B2710" s="156" t="str">
        <f>'Reported burning'!B2710</f>
        <v>305n.5</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305o</v>
      </c>
      <c r="B2711" s="156" t="str">
        <f>'Reported burning'!B2711</f>
        <v>305o.5</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305p</v>
      </c>
      <c r="B2712" s="156" t="str">
        <f>'Reported burning'!B2712</f>
        <v>305p.5</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305q</v>
      </c>
      <c r="B2713" s="156" t="str">
        <f>'Reported burning'!B2713</f>
        <v>305q.5</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305r</v>
      </c>
      <c r="B2714" s="156" t="str">
        <f>'Reported burning'!B2714</f>
        <v>305r.5</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Absence</v>
      </c>
      <c r="I2714" s="5"/>
      <c r="J2714" s="14" t="s">
        <v>2364</v>
      </c>
      <c r="K2714" s="14" t="s">
        <v>2364</v>
      </c>
      <c r="L2714" s="14" t="s">
        <v>2364</v>
      </c>
      <c r="M2714" s="14" t="s">
        <v>2364</v>
      </c>
      <c r="N2714" s="14" t="s">
        <v>2364</v>
      </c>
      <c r="O2714" s="14" t="s">
        <v>2364</v>
      </c>
      <c r="P2714" s="14" t="s">
        <v>2364</v>
      </c>
      <c r="Q2714" s="14" t="s">
        <v>2364</v>
      </c>
      <c r="R2714" s="14" t="s">
        <v>2364</v>
      </c>
      <c r="S2714" s="14" t="s">
        <v>2364</v>
      </c>
      <c r="T2714" s="14" t="s">
        <v>2364</v>
      </c>
      <c r="U2714" s="14" t="s">
        <v>2364</v>
      </c>
      <c r="V2714" s="14" t="s">
        <v>2364</v>
      </c>
      <c r="W2714" s="204" t="s">
        <v>2276</v>
      </c>
      <c r="X2714" s="204" t="s">
        <v>68</v>
      </c>
      <c r="Y2714" s="204" t="s">
        <v>86</v>
      </c>
      <c r="Z2714" s="204" t="s">
        <v>76</v>
      </c>
      <c r="AA2714" s="204"/>
      <c r="AB2714" s="204"/>
    </row>
    <row r="2715" spans="1:28" ht="34.5" customHeight="1">
      <c r="A2715" s="156" t="str">
        <f>'Reported burning'!A2715</f>
        <v>305s</v>
      </c>
      <c r="B2715" s="156" t="str">
        <f>'Reported burning'!B2715</f>
        <v>305s.5</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14" t="s">
        <v>2364</v>
      </c>
      <c r="K2715" s="14" t="s">
        <v>2364</v>
      </c>
      <c r="L2715" s="14" t="s">
        <v>2364</v>
      </c>
      <c r="M2715" s="14" t="s">
        <v>2364</v>
      </c>
      <c r="N2715" s="14" t="s">
        <v>2364</v>
      </c>
      <c r="O2715" s="14" t="s">
        <v>2364</v>
      </c>
      <c r="P2715" s="14" t="s">
        <v>2364</v>
      </c>
      <c r="Q2715" s="14" t="s">
        <v>2364</v>
      </c>
      <c r="R2715" s="14" t="s">
        <v>2364</v>
      </c>
      <c r="S2715" s="14" t="s">
        <v>2364</v>
      </c>
      <c r="T2715" s="14" t="s">
        <v>2364</v>
      </c>
      <c r="U2715" s="14" t="s">
        <v>2364</v>
      </c>
      <c r="V2715" s="14" t="s">
        <v>2364</v>
      </c>
      <c r="W2715" s="204" t="s">
        <v>2276</v>
      </c>
      <c r="X2715" s="204" t="s">
        <v>68</v>
      </c>
      <c r="Y2715" s="204" t="s">
        <v>86</v>
      </c>
      <c r="Z2715" s="204" t="s">
        <v>76</v>
      </c>
      <c r="AA2715" s="204"/>
      <c r="AB2715" s="204"/>
    </row>
    <row r="2716" spans="1:28" ht="34.5" customHeight="1">
      <c r="A2716" s="156" t="str">
        <f>'Reported burning'!A2716</f>
        <v>305t</v>
      </c>
      <c r="B2716" s="156" t="str">
        <f>'Reported burning'!B2716</f>
        <v>305t.5</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14" t="s">
        <v>2364</v>
      </c>
      <c r="K2716" s="14" t="s">
        <v>2364</v>
      </c>
      <c r="L2716" s="14" t="s">
        <v>2364</v>
      </c>
      <c r="M2716" s="14" t="s">
        <v>2364</v>
      </c>
      <c r="N2716" s="14" t="s">
        <v>2364</v>
      </c>
      <c r="O2716" s="14" t="s">
        <v>2364</v>
      </c>
      <c r="P2716" s="14" t="s">
        <v>2364</v>
      </c>
      <c r="Q2716" s="14" t="s">
        <v>2364</v>
      </c>
      <c r="R2716" s="14" t="s">
        <v>2364</v>
      </c>
      <c r="S2716" s="14" t="s">
        <v>2364</v>
      </c>
      <c r="T2716" s="14" t="s">
        <v>2364</v>
      </c>
      <c r="U2716" s="14" t="s">
        <v>2364</v>
      </c>
      <c r="V2716" s="14" t="s">
        <v>2364</v>
      </c>
      <c r="W2716" s="204" t="s">
        <v>2276</v>
      </c>
      <c r="X2716" s="204" t="s">
        <v>68</v>
      </c>
      <c r="Y2716" s="204" t="s">
        <v>86</v>
      </c>
      <c r="Z2716" s="204" t="s">
        <v>76</v>
      </c>
      <c r="AA2716" s="204"/>
      <c r="AB2716" s="204"/>
    </row>
    <row r="2717" spans="1:28" ht="34.5" customHeight="1">
      <c r="A2717" s="156" t="str">
        <f>'Reported burning'!A2717</f>
        <v>305u</v>
      </c>
      <c r="B2717" s="156" t="str">
        <f>'Reported burning'!B2717</f>
        <v>305u.5</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Presence</v>
      </c>
      <c r="I2717" s="5"/>
      <c r="J2717" s="204" t="s">
        <v>2276</v>
      </c>
      <c r="K2717" s="204" t="s">
        <v>2276</v>
      </c>
      <c r="L2717" s="204" t="s">
        <v>2276</v>
      </c>
      <c r="M2717" s="204" t="s">
        <v>2276</v>
      </c>
      <c r="N2717" s="204" t="s">
        <v>2276</v>
      </c>
      <c r="O2717" s="204" t="s">
        <v>2276</v>
      </c>
      <c r="P2717" s="204" t="s">
        <v>2276</v>
      </c>
      <c r="Q2717" s="204" t="s">
        <v>2276</v>
      </c>
      <c r="R2717" s="204" t="s">
        <v>2276</v>
      </c>
      <c r="S2717" s="204" t="s">
        <v>2276</v>
      </c>
      <c r="T2717" s="204" t="s">
        <v>2276</v>
      </c>
      <c r="U2717" s="204" t="s">
        <v>2276</v>
      </c>
      <c r="V2717" s="204" t="s">
        <v>2276</v>
      </c>
      <c r="W2717" s="204" t="s">
        <v>2276</v>
      </c>
      <c r="X2717" s="204" t="s">
        <v>68</v>
      </c>
      <c r="Y2717" s="204" t="s">
        <v>86</v>
      </c>
      <c r="Z2717" s="204" t="s">
        <v>76</v>
      </c>
      <c r="AA2717" s="204"/>
      <c r="AB2717" s="204"/>
    </row>
    <row r="2718" spans="1:28" ht="34.5" customHeight="1">
      <c r="A2718" s="156" t="str">
        <f>'Reported burning'!A2718</f>
        <v>305v</v>
      </c>
      <c r="B2718" s="156" t="str">
        <f>'Reported burning'!B2718</f>
        <v>305v.5</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305w</v>
      </c>
      <c r="B2719" s="156" t="str">
        <f>'Reported burning'!B2719</f>
        <v>305w.5</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305x</v>
      </c>
      <c r="B2720" s="156" t="str">
        <f>'Reported burning'!B2720</f>
        <v>305x.5</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305y</v>
      </c>
      <c r="B2721" s="156" t="str">
        <f>'Reported burning'!B2721</f>
        <v>305y.5</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305z</v>
      </c>
      <c r="B2722" s="156" t="str">
        <f>'Reported burning'!B2722</f>
        <v>305z.5</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305aa</v>
      </c>
      <c r="B2723" s="156" t="str">
        <f>'Reported burning'!B2723</f>
        <v>305aa.5</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85" t="str">
        <f>'Reported burning'!A2724</f>
        <v>305ab</v>
      </c>
      <c r="B2724" s="185" t="str">
        <f>'Reported burning'!B2724</f>
        <v>305ab.5</v>
      </c>
      <c r="C2724" s="185" t="str">
        <f>'Reported burning'!C2724</f>
        <v>Human, deliberate</v>
      </c>
      <c r="D2724" s="185" t="str">
        <f>'Reported burning'!D2724</f>
        <v>Pyrome management</v>
      </c>
      <c r="E2724" s="185" t="str">
        <f>'Reported burning'!E2724</f>
        <v>Fire suppression agent</v>
      </c>
      <c r="F2724" s="185" t="str">
        <f>'Reported burning'!F2724</f>
        <v>ND</v>
      </c>
      <c r="G2724" s="185" t="str">
        <f>'Reported burning'!G2724</f>
        <v>ND</v>
      </c>
      <c r="H2724" s="185" t="str">
        <f>'Reported burning'!H2724</f>
        <v>Presence</v>
      </c>
      <c r="I2724" s="32"/>
      <c r="J2724" s="38" t="s">
        <v>2276</v>
      </c>
      <c r="K2724" s="38" t="s">
        <v>2276</v>
      </c>
      <c r="L2724" s="38" t="s">
        <v>2276</v>
      </c>
      <c r="M2724" s="38" t="s">
        <v>2276</v>
      </c>
      <c r="N2724" s="38" t="s">
        <v>2276</v>
      </c>
      <c r="O2724" s="38" t="s">
        <v>2276</v>
      </c>
      <c r="P2724" s="38" t="s">
        <v>2276</v>
      </c>
      <c r="Q2724" s="38" t="s">
        <v>2276</v>
      </c>
      <c r="R2724" s="38" t="s">
        <v>2276</v>
      </c>
      <c r="S2724" s="38" t="s">
        <v>2276</v>
      </c>
      <c r="T2724" s="38" t="s">
        <v>2276</v>
      </c>
      <c r="U2724" s="38" t="s">
        <v>2276</v>
      </c>
      <c r="V2724" s="38" t="s">
        <v>2276</v>
      </c>
      <c r="W2724" s="38" t="s">
        <v>2276</v>
      </c>
      <c r="X2724" s="204" t="s">
        <v>68</v>
      </c>
      <c r="Y2724" s="204" t="s">
        <v>86</v>
      </c>
      <c r="Z2724" s="204" t="s">
        <v>76</v>
      </c>
      <c r="AA2724" s="204"/>
      <c r="AB2724" s="204"/>
    </row>
    <row r="2725" spans="1:28" ht="34.5" customHeight="1">
      <c r="A2725" s="152" t="str">
        <f>'Reported burning'!A2725</f>
        <v>305ac</v>
      </c>
      <c r="B2725" s="152" t="str">
        <f>'Reported burning'!B2725</f>
        <v>305ac.5</v>
      </c>
      <c r="C2725" s="152" t="str">
        <f>'Reported burning'!C2725</f>
        <v>Human, deliberate</v>
      </c>
      <c r="D2725" s="152" t="str">
        <f>'Reported burning'!D2725</f>
        <v>Pyrome management</v>
      </c>
      <c r="E2725" s="152" t="str">
        <f>'Reported burning'!E2725</f>
        <v>Fire suppression agent</v>
      </c>
      <c r="F2725" s="152" t="str">
        <f>'Reported burning'!F2725</f>
        <v>ND</v>
      </c>
      <c r="G2725" s="152" t="str">
        <f>'Reported burning'!G2725</f>
        <v>ND</v>
      </c>
      <c r="H2725" s="152" t="str">
        <f>'Reported burning'!H2725</f>
        <v>Presence</v>
      </c>
      <c r="I2725" s="204"/>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2" t="str">
        <f>'Reported burning'!A2726</f>
        <v>305ad</v>
      </c>
      <c r="B2726" s="152" t="str">
        <f>'Reported burning'!B2726</f>
        <v>305ad.5</v>
      </c>
      <c r="C2726" s="152" t="str">
        <f>'Reported burning'!C2726</f>
        <v>Human, deliberate</v>
      </c>
      <c r="D2726" s="152" t="str">
        <f>'Reported burning'!D2726</f>
        <v>Pyrome management</v>
      </c>
      <c r="E2726" s="152" t="str">
        <f>'Reported burning'!E2726</f>
        <v>Fire suppression agent</v>
      </c>
      <c r="F2726" s="152" t="str">
        <f>'Reported burning'!F2726</f>
        <v>ND</v>
      </c>
      <c r="G2726" s="152" t="str">
        <f>'Reported burning'!G2726</f>
        <v>ND</v>
      </c>
      <c r="H2726" s="152" t="str">
        <f>'Reported burning'!H2726</f>
        <v>Presence</v>
      </c>
      <c r="I2726" s="204"/>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2" t="str">
        <f>'Reported burning'!A2727</f>
        <v>305ae</v>
      </c>
      <c r="B2727" s="152" t="str">
        <f>'Reported burning'!B2727</f>
        <v>305ae.5</v>
      </c>
      <c r="C2727" s="152" t="str">
        <f>'Reported burning'!C2727</f>
        <v>Human, deliberate</v>
      </c>
      <c r="D2727" s="152" t="str">
        <f>'Reported burning'!D2727</f>
        <v>Pyrome management</v>
      </c>
      <c r="E2727" s="152" t="str">
        <f>'Reported burning'!E2727</f>
        <v>Fire suppression agent</v>
      </c>
      <c r="F2727" s="152" t="str">
        <f>'Reported burning'!F2727</f>
        <v>ND</v>
      </c>
      <c r="G2727" s="152" t="str">
        <f>'Reported burning'!G2727</f>
        <v>ND</v>
      </c>
      <c r="H2727" s="152" t="str">
        <f>'Reported burning'!H2727</f>
        <v>Presence</v>
      </c>
      <c r="I2727" s="204"/>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2" t="str">
        <f>'Reported burning'!A2728</f>
        <v>305n</v>
      </c>
      <c r="B2728" s="152" t="str">
        <f>'Reported burning'!B2728</f>
        <v>305n.6</v>
      </c>
      <c r="C2728" s="152" t="str">
        <f>'Reported burning'!C2728</f>
        <v>Human, deliberate</v>
      </c>
      <c r="D2728" s="152" t="str">
        <f>'Reported burning'!D2728</f>
        <v>Pyrome management</v>
      </c>
      <c r="E2728" s="152" t="str">
        <f>'Reported burning'!E2728</f>
        <v>Fire suppression agent</v>
      </c>
      <c r="F2728" s="152" t="str">
        <f>'Reported burning'!F2728</f>
        <v>ND</v>
      </c>
      <c r="G2728" s="152" t="str">
        <f>'Reported burning'!G2728</f>
        <v>ND</v>
      </c>
      <c r="H2728" s="152" t="str">
        <f>'Reported burning'!H2728</f>
        <v>Presence</v>
      </c>
      <c r="I2728" s="204"/>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2" t="str">
        <f>'Reported burning'!A2729</f>
        <v>305o</v>
      </c>
      <c r="B2729" s="152" t="str">
        <f>'Reported burning'!B2729</f>
        <v>305o.6</v>
      </c>
      <c r="C2729" s="152" t="str">
        <f>'Reported burning'!C2729</f>
        <v>Human, deliberate</v>
      </c>
      <c r="D2729" s="152" t="str">
        <f>'Reported burning'!D2729</f>
        <v>Pyrome management</v>
      </c>
      <c r="E2729" s="152" t="str">
        <f>'Reported burning'!E2729</f>
        <v>Fire suppression agent</v>
      </c>
      <c r="F2729" s="152" t="str">
        <f>'Reported burning'!F2729</f>
        <v>ND</v>
      </c>
      <c r="G2729" s="152" t="str">
        <f>'Reported burning'!G2729</f>
        <v>ND</v>
      </c>
      <c r="H2729" s="152" t="str">
        <f>'Reported burning'!H2729</f>
        <v>Presence</v>
      </c>
      <c r="I2729" s="204"/>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2" t="str">
        <f>'Reported burning'!A2730</f>
        <v>305p</v>
      </c>
      <c r="B2730" s="152" t="str">
        <f>'Reported burning'!B2730</f>
        <v>305p.6</v>
      </c>
      <c r="C2730" s="152" t="str">
        <f>'Reported burning'!C2730</f>
        <v>Human, deliberate</v>
      </c>
      <c r="D2730" s="152" t="str">
        <f>'Reported burning'!D2730</f>
        <v>Pyrome management</v>
      </c>
      <c r="E2730" s="152" t="str">
        <f>'Reported burning'!E2730</f>
        <v>Fire suppression agent</v>
      </c>
      <c r="F2730" s="152" t="str">
        <f>'Reported burning'!F2730</f>
        <v>ND</v>
      </c>
      <c r="G2730" s="152" t="str">
        <f>'Reported burning'!G2730</f>
        <v>ND</v>
      </c>
      <c r="H2730" s="152" t="str">
        <f>'Reported burning'!H2730</f>
        <v>Presence</v>
      </c>
      <c r="I2730" s="204"/>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2" t="str">
        <f>'Reported burning'!A2731</f>
        <v>305q</v>
      </c>
      <c r="B2731" s="152" t="str">
        <f>'Reported burning'!B2731</f>
        <v>305q.6</v>
      </c>
      <c r="C2731" s="152" t="str">
        <f>'Reported burning'!C2731</f>
        <v>Human, deliberate</v>
      </c>
      <c r="D2731" s="152" t="str">
        <f>'Reported burning'!D2731</f>
        <v>Pyrome management</v>
      </c>
      <c r="E2731" s="152" t="str">
        <f>'Reported burning'!E2731</f>
        <v>Fire suppression agent</v>
      </c>
      <c r="F2731" s="152" t="str">
        <f>'Reported burning'!F2731</f>
        <v>ND</v>
      </c>
      <c r="G2731" s="152" t="str">
        <f>'Reported burning'!G2731</f>
        <v>ND</v>
      </c>
      <c r="H2731" s="152" t="str">
        <f>'Reported burning'!H2731</f>
        <v>Presence</v>
      </c>
      <c r="I2731" s="204"/>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2" t="str">
        <f>'Reported burning'!A2732</f>
        <v>305r</v>
      </c>
      <c r="B2732" s="152" t="str">
        <f>'Reported burning'!B2732</f>
        <v>305r.6</v>
      </c>
      <c r="C2732" s="152" t="str">
        <f>'Reported burning'!C2732</f>
        <v>Human, deliberate</v>
      </c>
      <c r="D2732" s="152" t="str">
        <f>'Reported burning'!D2732</f>
        <v>Pyrome management</v>
      </c>
      <c r="E2732" s="152" t="str">
        <f>'Reported burning'!E2732</f>
        <v>Fire suppression agent</v>
      </c>
      <c r="F2732" s="152" t="str">
        <f>'Reported burning'!F2732</f>
        <v>ND</v>
      </c>
      <c r="G2732" s="152" t="str">
        <f>'Reported burning'!G2732</f>
        <v>ND</v>
      </c>
      <c r="H2732" s="152" t="str">
        <f>'Reported burning'!H2732</f>
        <v>Absence</v>
      </c>
      <c r="I2732" s="204"/>
      <c r="J2732" s="21" t="s">
        <v>2364</v>
      </c>
      <c r="K2732" s="21" t="s">
        <v>2364</v>
      </c>
      <c r="L2732" s="21" t="s">
        <v>2364</v>
      </c>
      <c r="M2732" s="21" t="s">
        <v>2364</v>
      </c>
      <c r="N2732" s="21" t="s">
        <v>2364</v>
      </c>
      <c r="O2732" s="21" t="s">
        <v>2364</v>
      </c>
      <c r="P2732" s="21" t="s">
        <v>2364</v>
      </c>
      <c r="Q2732" s="21" t="s">
        <v>2364</v>
      </c>
      <c r="R2732" s="21" t="s">
        <v>2364</v>
      </c>
      <c r="S2732" s="21" t="s">
        <v>2364</v>
      </c>
      <c r="T2732" s="21" t="s">
        <v>2364</v>
      </c>
      <c r="U2732" s="21" t="s">
        <v>2364</v>
      </c>
      <c r="V2732" s="21" t="s">
        <v>2364</v>
      </c>
      <c r="W2732" s="204" t="s">
        <v>2276</v>
      </c>
      <c r="X2732" s="204" t="s">
        <v>68</v>
      </c>
      <c r="Y2732" s="204" t="s">
        <v>86</v>
      </c>
      <c r="Z2732" s="204" t="s">
        <v>76</v>
      </c>
      <c r="AA2732" s="204"/>
      <c r="AB2732" s="204"/>
    </row>
    <row r="2733" spans="1:28" ht="34.5" customHeight="1">
      <c r="A2733" s="152" t="str">
        <f>'Reported burning'!A2733</f>
        <v>305s</v>
      </c>
      <c r="B2733" s="152" t="str">
        <f>'Reported burning'!B2733</f>
        <v>305s.6</v>
      </c>
      <c r="C2733" s="152" t="str">
        <f>'Reported burning'!C2733</f>
        <v>Human, deliberate</v>
      </c>
      <c r="D2733" s="152" t="str">
        <f>'Reported burning'!D2733</f>
        <v>Pyrome management</v>
      </c>
      <c r="E2733" s="152" t="str">
        <f>'Reported burning'!E2733</f>
        <v>Fire suppression agent</v>
      </c>
      <c r="F2733" s="152" t="str">
        <f>'Reported burning'!F2733</f>
        <v>ND</v>
      </c>
      <c r="G2733" s="152" t="str">
        <f>'Reported burning'!G2733</f>
        <v>ND</v>
      </c>
      <c r="H2733" s="152" t="str">
        <f>'Reported burning'!H2733</f>
        <v>Absence</v>
      </c>
      <c r="I2733" s="204"/>
      <c r="J2733" s="21" t="s">
        <v>2364</v>
      </c>
      <c r="K2733" s="21" t="s">
        <v>2364</v>
      </c>
      <c r="L2733" s="21" t="s">
        <v>2364</v>
      </c>
      <c r="M2733" s="21" t="s">
        <v>2364</v>
      </c>
      <c r="N2733" s="21" t="s">
        <v>2364</v>
      </c>
      <c r="O2733" s="21" t="s">
        <v>2364</v>
      </c>
      <c r="P2733" s="21" t="s">
        <v>2364</v>
      </c>
      <c r="Q2733" s="21" t="s">
        <v>2364</v>
      </c>
      <c r="R2733" s="21" t="s">
        <v>2364</v>
      </c>
      <c r="S2733" s="21" t="s">
        <v>2364</v>
      </c>
      <c r="T2733" s="21" t="s">
        <v>2364</v>
      </c>
      <c r="U2733" s="21" t="s">
        <v>2364</v>
      </c>
      <c r="V2733" s="21" t="s">
        <v>2364</v>
      </c>
      <c r="W2733" s="204" t="s">
        <v>2276</v>
      </c>
      <c r="X2733" s="204" t="s">
        <v>68</v>
      </c>
      <c r="Y2733" s="204" t="s">
        <v>86</v>
      </c>
      <c r="Z2733" s="204" t="s">
        <v>76</v>
      </c>
      <c r="AA2733" s="204"/>
      <c r="AB2733" s="204"/>
    </row>
    <row r="2734" spans="1:28" ht="34.5" customHeight="1">
      <c r="A2734" s="152" t="str">
        <f>'Reported burning'!A2734</f>
        <v>305t</v>
      </c>
      <c r="B2734" s="152" t="str">
        <f>'Reported burning'!B2734</f>
        <v>305t.6</v>
      </c>
      <c r="C2734" s="152" t="str">
        <f>'Reported burning'!C2734</f>
        <v>Human, deliberate</v>
      </c>
      <c r="D2734" s="152" t="str">
        <f>'Reported burning'!D2734</f>
        <v>Pyrome management</v>
      </c>
      <c r="E2734" s="152" t="str">
        <f>'Reported burning'!E2734</f>
        <v>Fire suppression agent</v>
      </c>
      <c r="F2734" s="152" t="str">
        <f>'Reported burning'!F2734</f>
        <v>ND</v>
      </c>
      <c r="G2734" s="152" t="str">
        <f>'Reported burning'!G2734</f>
        <v>ND</v>
      </c>
      <c r="H2734" s="152" t="str">
        <f>'Reported burning'!H2734</f>
        <v>Absence</v>
      </c>
      <c r="I2734" s="204"/>
      <c r="J2734" s="21" t="s">
        <v>2364</v>
      </c>
      <c r="K2734" s="21" t="s">
        <v>2364</v>
      </c>
      <c r="L2734" s="21" t="s">
        <v>2364</v>
      </c>
      <c r="M2734" s="21" t="s">
        <v>2364</v>
      </c>
      <c r="N2734" s="21" t="s">
        <v>2364</v>
      </c>
      <c r="O2734" s="21" t="s">
        <v>2364</v>
      </c>
      <c r="P2734" s="21" t="s">
        <v>2364</v>
      </c>
      <c r="Q2734" s="21" t="s">
        <v>2364</v>
      </c>
      <c r="R2734" s="21" t="s">
        <v>2364</v>
      </c>
      <c r="S2734" s="21" t="s">
        <v>2364</v>
      </c>
      <c r="T2734" s="21" t="s">
        <v>2364</v>
      </c>
      <c r="U2734" s="21" t="s">
        <v>2364</v>
      </c>
      <c r="V2734" s="21" t="s">
        <v>2364</v>
      </c>
      <c r="W2734" s="204" t="s">
        <v>2276</v>
      </c>
      <c r="X2734" s="204" t="s">
        <v>68</v>
      </c>
      <c r="Y2734" s="204" t="s">
        <v>86</v>
      </c>
      <c r="Z2734" s="204" t="s">
        <v>76</v>
      </c>
      <c r="AA2734" s="204"/>
      <c r="AB2734" s="204"/>
    </row>
    <row r="2735" spans="1:28" ht="34.5" customHeight="1">
      <c r="A2735" s="152" t="str">
        <f>'Reported burning'!A2735</f>
        <v>305u</v>
      </c>
      <c r="B2735" s="152" t="str">
        <f>'Reported burning'!B2735</f>
        <v>305u.6</v>
      </c>
      <c r="C2735" s="152" t="str">
        <f>'Reported burning'!C2735</f>
        <v>Human, deliberate</v>
      </c>
      <c r="D2735" s="152" t="str">
        <f>'Reported burning'!D2735</f>
        <v>Pyrome management</v>
      </c>
      <c r="E2735" s="152" t="str">
        <f>'Reported burning'!E2735</f>
        <v>Fire suppression agent</v>
      </c>
      <c r="F2735" s="152" t="str">
        <f>'Reported burning'!F2735</f>
        <v>ND</v>
      </c>
      <c r="G2735" s="152" t="str">
        <f>'Reported burning'!G2735</f>
        <v>ND</v>
      </c>
      <c r="H2735" s="152" t="str">
        <f>'Reported burning'!H2735</f>
        <v>Presence</v>
      </c>
      <c r="I2735" s="204"/>
      <c r="J2735" s="204" t="s">
        <v>2276</v>
      </c>
      <c r="K2735" s="204" t="s">
        <v>2276</v>
      </c>
      <c r="L2735" s="204" t="s">
        <v>2276</v>
      </c>
      <c r="M2735" s="204" t="s">
        <v>2276</v>
      </c>
      <c r="N2735" s="204" t="s">
        <v>2276</v>
      </c>
      <c r="O2735" s="204" t="s">
        <v>2276</v>
      </c>
      <c r="P2735" s="204" t="s">
        <v>2276</v>
      </c>
      <c r="Q2735" s="204" t="s">
        <v>2276</v>
      </c>
      <c r="R2735" s="204" t="s">
        <v>2276</v>
      </c>
      <c r="S2735" s="204" t="s">
        <v>2276</v>
      </c>
      <c r="T2735" s="204" t="s">
        <v>2276</v>
      </c>
      <c r="U2735" s="204" t="s">
        <v>2276</v>
      </c>
      <c r="V2735" s="204" t="s">
        <v>2276</v>
      </c>
      <c r="W2735" s="204" t="s">
        <v>2276</v>
      </c>
      <c r="X2735" s="204" t="s">
        <v>68</v>
      </c>
      <c r="Y2735" s="204" t="s">
        <v>86</v>
      </c>
      <c r="Z2735" s="204" t="s">
        <v>76</v>
      </c>
      <c r="AA2735" s="204"/>
      <c r="AB2735" s="204"/>
    </row>
    <row r="2736" spans="1:28" ht="34.5" customHeight="1">
      <c r="A2736" s="152" t="str">
        <f>'Reported burning'!A2736</f>
        <v>305v</v>
      </c>
      <c r="B2736" s="152" t="str">
        <f>'Reported burning'!B2736</f>
        <v>305v.6</v>
      </c>
      <c r="C2736" s="152" t="str">
        <f>'Reported burning'!C2736</f>
        <v>Human, deliberate</v>
      </c>
      <c r="D2736" s="152" t="str">
        <f>'Reported burning'!D2736</f>
        <v>Pyrome management</v>
      </c>
      <c r="E2736" s="152" t="str">
        <f>'Reported burning'!E2736</f>
        <v>Fire suppression agent</v>
      </c>
      <c r="F2736" s="152" t="str">
        <f>'Reported burning'!F2736</f>
        <v>ND</v>
      </c>
      <c r="G2736" s="152" t="str">
        <f>'Reported burning'!G2736</f>
        <v>ND</v>
      </c>
      <c r="H2736" s="152" t="str">
        <f>'Reported burning'!H2736</f>
        <v>Presence</v>
      </c>
      <c r="I2736" s="204"/>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2" t="str">
        <f>'Reported burning'!A2737</f>
        <v>305w</v>
      </c>
      <c r="B2737" s="152" t="str">
        <f>'Reported burning'!B2737</f>
        <v>305w.6</v>
      </c>
      <c r="C2737" s="152" t="str">
        <f>'Reported burning'!C2737</f>
        <v>Human, deliberate</v>
      </c>
      <c r="D2737" s="152" t="str">
        <f>'Reported burning'!D2737</f>
        <v>Pyrome management</v>
      </c>
      <c r="E2737" s="152" t="str">
        <f>'Reported burning'!E2737</f>
        <v>Fire suppression agent</v>
      </c>
      <c r="F2737" s="152" t="str">
        <f>'Reported burning'!F2737</f>
        <v>ND</v>
      </c>
      <c r="G2737" s="152" t="str">
        <f>'Reported burning'!G2737</f>
        <v>ND</v>
      </c>
      <c r="H2737" s="152" t="str">
        <f>'Reported burning'!H2737</f>
        <v>Presence</v>
      </c>
      <c r="I2737" s="204"/>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2" t="str">
        <f>'Reported burning'!A2738</f>
        <v>305x</v>
      </c>
      <c r="B2738" s="152" t="str">
        <f>'Reported burning'!B2738</f>
        <v>305x.6</v>
      </c>
      <c r="C2738" s="152" t="str">
        <f>'Reported burning'!C2738</f>
        <v>Human, deliberate</v>
      </c>
      <c r="D2738" s="152" t="str">
        <f>'Reported burning'!D2738</f>
        <v>Pyrome management</v>
      </c>
      <c r="E2738" s="152" t="str">
        <f>'Reported burning'!E2738</f>
        <v>Fire suppression agent</v>
      </c>
      <c r="F2738" s="152" t="str">
        <f>'Reported burning'!F2738</f>
        <v>ND</v>
      </c>
      <c r="G2738" s="152" t="str">
        <f>'Reported burning'!G2738</f>
        <v>ND</v>
      </c>
      <c r="H2738" s="152" t="str">
        <f>'Reported burning'!H2738</f>
        <v>Presence</v>
      </c>
      <c r="I2738" s="204"/>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2" t="str">
        <f>'Reported burning'!A2739</f>
        <v>305y</v>
      </c>
      <c r="B2739" s="152" t="str">
        <f>'Reported burning'!B2739</f>
        <v>305y.6</v>
      </c>
      <c r="C2739" s="152" t="str">
        <f>'Reported burning'!C2739</f>
        <v>Human, deliberate</v>
      </c>
      <c r="D2739" s="152" t="str">
        <f>'Reported burning'!D2739</f>
        <v>Pyrome management</v>
      </c>
      <c r="E2739" s="152" t="str">
        <f>'Reported burning'!E2739</f>
        <v>Fire suppression agent</v>
      </c>
      <c r="F2739" s="152" t="str">
        <f>'Reported burning'!F2739</f>
        <v>ND</v>
      </c>
      <c r="G2739" s="152" t="str">
        <f>'Reported burning'!G2739</f>
        <v>ND</v>
      </c>
      <c r="H2739" s="152" t="str">
        <f>'Reported burning'!H2739</f>
        <v>Presence</v>
      </c>
      <c r="I2739" s="204"/>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2" t="str">
        <f>'Reported burning'!A2740</f>
        <v>305z</v>
      </c>
      <c r="B2740" s="152" t="str">
        <f>'Reported burning'!B2740</f>
        <v>305z.6</v>
      </c>
      <c r="C2740" s="152" t="str">
        <f>'Reported burning'!C2740</f>
        <v>Human, deliberate</v>
      </c>
      <c r="D2740" s="152" t="str">
        <f>'Reported burning'!D2740</f>
        <v>Pyrome management</v>
      </c>
      <c r="E2740" s="152" t="str">
        <f>'Reported burning'!E2740</f>
        <v>Fire suppression agent</v>
      </c>
      <c r="F2740" s="152" t="str">
        <f>'Reported burning'!F2740</f>
        <v>ND</v>
      </c>
      <c r="G2740" s="152" t="str">
        <f>'Reported burning'!G2740</f>
        <v>ND</v>
      </c>
      <c r="H2740" s="152" t="str">
        <f>'Reported burning'!H2740</f>
        <v>Presence</v>
      </c>
      <c r="I2740" s="204"/>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2" t="str">
        <f>'Reported burning'!A2741</f>
        <v>305aa</v>
      </c>
      <c r="B2741" s="152" t="str">
        <f>'Reported burning'!B2741</f>
        <v>305aa.6</v>
      </c>
      <c r="C2741" s="152" t="str">
        <f>'Reported burning'!C2741</f>
        <v>Human, deliberate</v>
      </c>
      <c r="D2741" s="152" t="str">
        <f>'Reported burning'!D2741</f>
        <v>Pyrome management</v>
      </c>
      <c r="E2741" s="152" t="str">
        <f>'Reported burning'!E2741</f>
        <v>Fire suppression agent</v>
      </c>
      <c r="F2741" s="152" t="str">
        <f>'Reported burning'!F2741</f>
        <v>ND</v>
      </c>
      <c r="G2741" s="152" t="str">
        <f>'Reported burning'!G2741</f>
        <v>ND</v>
      </c>
      <c r="H2741" s="152" t="str">
        <f>'Reported burning'!H2741</f>
        <v>Presence</v>
      </c>
      <c r="I2741" s="204"/>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2" t="str">
        <f>'Reported burning'!A2742</f>
        <v>305ab</v>
      </c>
      <c r="B2742" s="152" t="str">
        <f>'Reported burning'!B2742</f>
        <v>305ab.6</v>
      </c>
      <c r="C2742" s="152" t="str">
        <f>'Reported burning'!C2742</f>
        <v>Human, deliberate</v>
      </c>
      <c r="D2742" s="152" t="str">
        <f>'Reported burning'!D2742</f>
        <v>Pyrome management</v>
      </c>
      <c r="E2742" s="152" t="str">
        <f>'Reported burning'!E2742</f>
        <v>Fire suppression agent</v>
      </c>
      <c r="F2742" s="152" t="str">
        <f>'Reported burning'!F2742</f>
        <v>ND</v>
      </c>
      <c r="G2742" s="152" t="str">
        <f>'Reported burning'!G2742</f>
        <v>ND</v>
      </c>
      <c r="H2742" s="152" t="str">
        <f>'Reported burning'!H2742</f>
        <v>Presence</v>
      </c>
      <c r="I2742" s="204"/>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2" t="str">
        <f>'Reported burning'!A2743</f>
        <v>305ac</v>
      </c>
      <c r="B2743" s="152" t="str">
        <f>'Reported burning'!B2743</f>
        <v>305ac.6</v>
      </c>
      <c r="C2743" s="152" t="str">
        <f>'Reported burning'!C2743</f>
        <v>Human, deliberate</v>
      </c>
      <c r="D2743" s="152" t="str">
        <f>'Reported burning'!D2743</f>
        <v>Pyrome management</v>
      </c>
      <c r="E2743" s="152" t="str">
        <f>'Reported burning'!E2743</f>
        <v>Fire suppression agent</v>
      </c>
      <c r="F2743" s="152" t="str">
        <f>'Reported burning'!F2743</f>
        <v>ND</v>
      </c>
      <c r="G2743" s="152" t="str">
        <f>'Reported burning'!G2743</f>
        <v>ND</v>
      </c>
      <c r="H2743" s="152" t="str">
        <f>'Reported burning'!H2743</f>
        <v>Presence</v>
      </c>
      <c r="I2743" s="204"/>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2" t="str">
        <f>'Reported burning'!A2744</f>
        <v>305ad</v>
      </c>
      <c r="B2744" s="152" t="str">
        <f>'Reported burning'!B2744</f>
        <v>305ad.6</v>
      </c>
      <c r="C2744" s="152" t="str">
        <f>'Reported burning'!C2744</f>
        <v>Human, deliberate</v>
      </c>
      <c r="D2744" s="152" t="str">
        <f>'Reported burning'!D2744</f>
        <v>Pyrome management</v>
      </c>
      <c r="E2744" s="152" t="str">
        <f>'Reported burning'!E2744</f>
        <v>Fire suppression agent</v>
      </c>
      <c r="F2744" s="152" t="str">
        <f>'Reported burning'!F2744</f>
        <v>ND</v>
      </c>
      <c r="G2744" s="152" t="str">
        <f>'Reported burning'!G2744</f>
        <v>ND</v>
      </c>
      <c r="H2744" s="152" t="str">
        <f>'Reported burning'!H2744</f>
        <v>Presence</v>
      </c>
      <c r="I2744" s="204"/>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2" t="str">
        <f>'Reported burning'!A2745</f>
        <v>305ae</v>
      </c>
      <c r="B2745" s="152" t="str">
        <f>'Reported burning'!B2745</f>
        <v>305ae.6</v>
      </c>
      <c r="C2745" s="152" t="str">
        <f>'Reported burning'!C2745</f>
        <v>Human, deliberate</v>
      </c>
      <c r="D2745" s="152" t="str">
        <f>'Reported burning'!D2745</f>
        <v>Pyrome management</v>
      </c>
      <c r="E2745" s="152" t="str">
        <f>'Reported burning'!E2745</f>
        <v>Fire suppression agent</v>
      </c>
      <c r="F2745" s="152" t="str">
        <f>'Reported burning'!F2745</f>
        <v>ND</v>
      </c>
      <c r="G2745" s="152" t="str">
        <f>'Reported burning'!G2745</f>
        <v>ND</v>
      </c>
      <c r="H2745" s="152" t="str">
        <f>'Reported burning'!H2745</f>
        <v>Presence</v>
      </c>
      <c r="I2745" s="204"/>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2" t="str">
        <f>'Reported burning'!A2746</f>
        <v>305n</v>
      </c>
      <c r="B2746" s="152" t="str">
        <f>'Reported burning'!B2746</f>
        <v>305n.7</v>
      </c>
      <c r="C2746" s="152" t="str">
        <f>'Reported burning'!C2746</f>
        <v>Human, deliberate</v>
      </c>
      <c r="D2746" s="152" t="str">
        <f>'Reported burning'!D2746</f>
        <v>Pyrome management</v>
      </c>
      <c r="E2746" s="152" t="str">
        <f>'Reported burning'!E2746</f>
        <v>Fire suppression agent</v>
      </c>
      <c r="F2746" s="152" t="str">
        <f>'Reported burning'!F2746</f>
        <v>ND</v>
      </c>
      <c r="G2746" s="152" t="str">
        <f>'Reported burning'!G2746</f>
        <v>ND</v>
      </c>
      <c r="H2746" s="152" t="str">
        <f>'Reported burning'!H2746</f>
        <v>Presence</v>
      </c>
      <c r="I2746" s="204"/>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2" t="str">
        <f>'Reported burning'!A2747</f>
        <v>305o</v>
      </c>
      <c r="B2747" s="152" t="str">
        <f>'Reported burning'!B2747</f>
        <v>305o.7</v>
      </c>
      <c r="C2747" s="152" t="str">
        <f>'Reported burning'!C2747</f>
        <v>Human, deliberate</v>
      </c>
      <c r="D2747" s="152" t="str">
        <f>'Reported burning'!D2747</f>
        <v>Pyrome management</v>
      </c>
      <c r="E2747" s="152" t="str">
        <f>'Reported burning'!E2747</f>
        <v>Fire suppression agent</v>
      </c>
      <c r="F2747" s="152" t="str">
        <f>'Reported burning'!F2747</f>
        <v>ND</v>
      </c>
      <c r="G2747" s="152" t="str">
        <f>'Reported burning'!G2747</f>
        <v>ND</v>
      </c>
      <c r="H2747" s="152" t="str">
        <f>'Reported burning'!H2747</f>
        <v>Presence</v>
      </c>
      <c r="I2747" s="204"/>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2" t="str">
        <f>'Reported burning'!A2748</f>
        <v>305p</v>
      </c>
      <c r="B2748" s="152" t="str">
        <f>'Reported burning'!B2748</f>
        <v>305p.7</v>
      </c>
      <c r="C2748" s="152" t="str">
        <f>'Reported burning'!C2748</f>
        <v>Human, deliberate</v>
      </c>
      <c r="D2748" s="152" t="str">
        <f>'Reported burning'!D2748</f>
        <v>Pyrome management</v>
      </c>
      <c r="E2748" s="152" t="str">
        <f>'Reported burning'!E2748</f>
        <v>Fire suppression agent</v>
      </c>
      <c r="F2748" s="152" t="str">
        <f>'Reported burning'!F2748</f>
        <v>ND</v>
      </c>
      <c r="G2748" s="152" t="str">
        <f>'Reported burning'!G2748</f>
        <v>ND</v>
      </c>
      <c r="H2748" s="152" t="str">
        <f>'Reported burning'!H2748</f>
        <v>Presence</v>
      </c>
      <c r="I2748" s="204"/>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2" t="str">
        <f>'Reported burning'!A2749</f>
        <v>305q</v>
      </c>
      <c r="B2749" s="152" t="str">
        <f>'Reported burning'!B2749</f>
        <v>305q.7</v>
      </c>
      <c r="C2749" s="152" t="str">
        <f>'Reported burning'!C2749</f>
        <v>Human, deliberate</v>
      </c>
      <c r="D2749" s="152" t="str">
        <f>'Reported burning'!D2749</f>
        <v>Pyrome management</v>
      </c>
      <c r="E2749" s="152" t="str">
        <f>'Reported burning'!E2749</f>
        <v>Fire suppression agent</v>
      </c>
      <c r="F2749" s="152" t="str">
        <f>'Reported burning'!F2749</f>
        <v>ND</v>
      </c>
      <c r="G2749" s="152" t="str">
        <f>'Reported burning'!G2749</f>
        <v>ND</v>
      </c>
      <c r="H2749" s="152" t="str">
        <f>'Reported burning'!H2749</f>
        <v>Presence</v>
      </c>
      <c r="I2749" s="204"/>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2" t="str">
        <f>'Reported burning'!A2750</f>
        <v>305r</v>
      </c>
      <c r="B2750" s="152" t="str">
        <f>'Reported burning'!B2750</f>
        <v>305r.7</v>
      </c>
      <c r="C2750" s="152" t="str">
        <f>'Reported burning'!C2750</f>
        <v>Human, deliberate</v>
      </c>
      <c r="D2750" s="152" t="str">
        <f>'Reported burning'!D2750</f>
        <v>Pyrome management</v>
      </c>
      <c r="E2750" s="152" t="str">
        <f>'Reported burning'!E2750</f>
        <v>Fire suppression agent</v>
      </c>
      <c r="F2750" s="152" t="str">
        <f>'Reported burning'!F2750</f>
        <v>ND</v>
      </c>
      <c r="G2750" s="152" t="str">
        <f>'Reported burning'!G2750</f>
        <v>ND</v>
      </c>
      <c r="H2750" s="152" t="str">
        <f>'Reported burning'!H2750</f>
        <v>Absence</v>
      </c>
      <c r="I2750" s="204"/>
      <c r="J2750" s="21" t="s">
        <v>2364</v>
      </c>
      <c r="K2750" s="21" t="s">
        <v>2364</v>
      </c>
      <c r="L2750" s="21" t="s">
        <v>2364</v>
      </c>
      <c r="M2750" s="21" t="s">
        <v>2364</v>
      </c>
      <c r="N2750" s="21" t="s">
        <v>2364</v>
      </c>
      <c r="O2750" s="21" t="s">
        <v>2364</v>
      </c>
      <c r="P2750" s="21" t="s">
        <v>2364</v>
      </c>
      <c r="Q2750" s="21" t="s">
        <v>2364</v>
      </c>
      <c r="R2750" s="21" t="s">
        <v>2364</v>
      </c>
      <c r="S2750" s="21" t="s">
        <v>2364</v>
      </c>
      <c r="T2750" s="21" t="s">
        <v>2364</v>
      </c>
      <c r="U2750" s="21" t="s">
        <v>2364</v>
      </c>
      <c r="V2750" s="21" t="s">
        <v>2364</v>
      </c>
      <c r="W2750" s="204" t="s">
        <v>2276</v>
      </c>
      <c r="X2750" s="204" t="s">
        <v>68</v>
      </c>
      <c r="Y2750" s="204" t="s">
        <v>86</v>
      </c>
      <c r="Z2750" s="204" t="s">
        <v>76</v>
      </c>
      <c r="AA2750" s="204"/>
      <c r="AB2750" s="204"/>
    </row>
    <row r="2751" spans="1:28" ht="34.5" customHeight="1">
      <c r="A2751" s="152" t="str">
        <f>'Reported burning'!A2751</f>
        <v>305s</v>
      </c>
      <c r="B2751" s="152" t="str">
        <f>'Reported burning'!B2751</f>
        <v>305s.7</v>
      </c>
      <c r="C2751" s="152" t="str">
        <f>'Reported burning'!C2751</f>
        <v>Human, deliberate</v>
      </c>
      <c r="D2751" s="152" t="str">
        <f>'Reported burning'!D2751</f>
        <v>Pyrome management</v>
      </c>
      <c r="E2751" s="152" t="str">
        <f>'Reported burning'!E2751</f>
        <v>Fire suppression agent</v>
      </c>
      <c r="F2751" s="152" t="str">
        <f>'Reported burning'!F2751</f>
        <v>ND</v>
      </c>
      <c r="G2751" s="152" t="str">
        <f>'Reported burning'!G2751</f>
        <v>ND</v>
      </c>
      <c r="H2751" s="152" t="str">
        <f>'Reported burning'!H2751</f>
        <v>Absence</v>
      </c>
      <c r="I2751" s="204"/>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2" t="str">
        <f>'Reported burning'!A2752</f>
        <v>305t</v>
      </c>
      <c r="B2752" s="152" t="str">
        <f>'Reported burning'!B2752</f>
        <v>305t.7</v>
      </c>
      <c r="C2752" s="152" t="str">
        <f>'Reported burning'!C2752</f>
        <v>Human, deliberate</v>
      </c>
      <c r="D2752" s="152" t="str">
        <f>'Reported burning'!D2752</f>
        <v>Pyrome management</v>
      </c>
      <c r="E2752" s="152" t="str">
        <f>'Reported burning'!E2752</f>
        <v>Fire suppression agent</v>
      </c>
      <c r="F2752" s="152" t="str">
        <f>'Reported burning'!F2752</f>
        <v>ND</v>
      </c>
      <c r="G2752" s="152" t="str">
        <f>'Reported burning'!G2752</f>
        <v>ND</v>
      </c>
      <c r="H2752" s="152" t="str">
        <f>'Reported burning'!H2752</f>
        <v>Absence</v>
      </c>
      <c r="I2752" s="204"/>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2" t="str">
        <f>'Reported burning'!A2753</f>
        <v>305u</v>
      </c>
      <c r="B2753" s="152" t="str">
        <f>'Reported burning'!B2753</f>
        <v>305u.7</v>
      </c>
      <c r="C2753" s="152" t="str">
        <f>'Reported burning'!C2753</f>
        <v>Human, deliberate</v>
      </c>
      <c r="D2753" s="152" t="str">
        <f>'Reported burning'!D2753</f>
        <v>Pyrome management</v>
      </c>
      <c r="E2753" s="152" t="str">
        <f>'Reported burning'!E2753</f>
        <v>Fire suppression agent</v>
      </c>
      <c r="F2753" s="152" t="str">
        <f>'Reported burning'!F2753</f>
        <v>ND</v>
      </c>
      <c r="G2753" s="152" t="str">
        <f>'Reported burning'!G2753</f>
        <v>ND</v>
      </c>
      <c r="H2753" s="152" t="str">
        <f>'Reported burning'!H2753</f>
        <v>Presence</v>
      </c>
      <c r="I2753" s="204"/>
      <c r="J2753" s="204" t="s">
        <v>2276</v>
      </c>
      <c r="K2753" s="204" t="s">
        <v>2276</v>
      </c>
      <c r="L2753" s="204" t="s">
        <v>2276</v>
      </c>
      <c r="M2753" s="204" t="s">
        <v>2276</v>
      </c>
      <c r="N2753" s="204" t="s">
        <v>2276</v>
      </c>
      <c r="O2753" s="204" t="s">
        <v>2276</v>
      </c>
      <c r="P2753" s="204" t="s">
        <v>2276</v>
      </c>
      <c r="Q2753" s="204" t="s">
        <v>2276</v>
      </c>
      <c r="R2753" s="204" t="s">
        <v>2276</v>
      </c>
      <c r="S2753" s="204" t="s">
        <v>2276</v>
      </c>
      <c r="T2753" s="204" t="s">
        <v>2276</v>
      </c>
      <c r="U2753" s="204" t="s">
        <v>2276</v>
      </c>
      <c r="V2753" s="204" t="s">
        <v>2276</v>
      </c>
      <c r="W2753" s="204" t="s">
        <v>2276</v>
      </c>
      <c r="X2753" s="204" t="s">
        <v>68</v>
      </c>
      <c r="Y2753" s="204" t="s">
        <v>86</v>
      </c>
      <c r="Z2753" s="204" t="s">
        <v>76</v>
      </c>
      <c r="AA2753" s="204"/>
      <c r="AB2753" s="204"/>
    </row>
    <row r="2754" spans="1:28" ht="34.5" customHeight="1">
      <c r="A2754" s="152" t="str">
        <f>'Reported burning'!A2754</f>
        <v>305v</v>
      </c>
      <c r="B2754" s="152" t="str">
        <f>'Reported burning'!B2754</f>
        <v>305v.7</v>
      </c>
      <c r="C2754" s="152" t="str">
        <f>'Reported burning'!C2754</f>
        <v>Human, deliberate</v>
      </c>
      <c r="D2754" s="152" t="str">
        <f>'Reported burning'!D2754</f>
        <v>Pyrome management</v>
      </c>
      <c r="E2754" s="152" t="str">
        <f>'Reported burning'!E2754</f>
        <v>Fire suppression agent</v>
      </c>
      <c r="F2754" s="152" t="str">
        <f>'Reported burning'!F2754</f>
        <v>ND</v>
      </c>
      <c r="G2754" s="152" t="str">
        <f>'Reported burning'!G2754</f>
        <v>ND</v>
      </c>
      <c r="H2754" s="152" t="str">
        <f>'Reported burning'!H2754</f>
        <v>Presence</v>
      </c>
      <c r="I2754" s="204"/>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2" t="str">
        <f>'Reported burning'!A2755</f>
        <v>305w</v>
      </c>
      <c r="B2755" s="152" t="str">
        <f>'Reported burning'!B2755</f>
        <v>305w.7</v>
      </c>
      <c r="C2755" s="152" t="str">
        <f>'Reported burning'!C2755</f>
        <v>Human, deliberate</v>
      </c>
      <c r="D2755" s="152" t="str">
        <f>'Reported burning'!D2755</f>
        <v>Pyrome management</v>
      </c>
      <c r="E2755" s="152" t="str">
        <f>'Reported burning'!E2755</f>
        <v>Fire suppression agent</v>
      </c>
      <c r="F2755" s="152" t="str">
        <f>'Reported burning'!F2755</f>
        <v>ND</v>
      </c>
      <c r="G2755" s="152" t="str">
        <f>'Reported burning'!G2755</f>
        <v>ND</v>
      </c>
      <c r="H2755" s="152" t="str">
        <f>'Reported burning'!H2755</f>
        <v>Presence</v>
      </c>
      <c r="I2755" s="204"/>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2" t="str">
        <f>'Reported burning'!A2756</f>
        <v>305x</v>
      </c>
      <c r="B2756" s="152" t="str">
        <f>'Reported burning'!B2756</f>
        <v>305x.7</v>
      </c>
      <c r="C2756" s="152" t="str">
        <f>'Reported burning'!C2756</f>
        <v>Human, deliberate</v>
      </c>
      <c r="D2756" s="152" t="str">
        <f>'Reported burning'!D2756</f>
        <v>Pyrome management</v>
      </c>
      <c r="E2756" s="152" t="str">
        <f>'Reported burning'!E2756</f>
        <v>Fire suppression agent</v>
      </c>
      <c r="F2756" s="152" t="str">
        <f>'Reported burning'!F2756</f>
        <v>ND</v>
      </c>
      <c r="G2756" s="152" t="str">
        <f>'Reported burning'!G2756</f>
        <v>ND</v>
      </c>
      <c r="H2756" s="152" t="str">
        <f>'Reported burning'!H2756</f>
        <v>Presence</v>
      </c>
      <c r="I2756" s="204"/>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2" t="str">
        <f>'Reported burning'!A2757</f>
        <v>305y</v>
      </c>
      <c r="B2757" s="152" t="str">
        <f>'Reported burning'!B2757</f>
        <v>305y.7</v>
      </c>
      <c r="C2757" s="152" t="str">
        <f>'Reported burning'!C2757</f>
        <v>Human, deliberate</v>
      </c>
      <c r="D2757" s="152" t="str">
        <f>'Reported burning'!D2757</f>
        <v>Pyrome management</v>
      </c>
      <c r="E2757" s="152" t="str">
        <f>'Reported burning'!E2757</f>
        <v>Fire suppression agent</v>
      </c>
      <c r="F2757" s="152" t="str">
        <f>'Reported burning'!F2757</f>
        <v>ND</v>
      </c>
      <c r="G2757" s="152" t="str">
        <f>'Reported burning'!G2757</f>
        <v>ND</v>
      </c>
      <c r="H2757" s="152" t="str">
        <f>'Reported burning'!H2757</f>
        <v>Presence</v>
      </c>
      <c r="I2757" s="204"/>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2" t="str">
        <f>'Reported burning'!A2758</f>
        <v>305z</v>
      </c>
      <c r="B2758" s="152" t="str">
        <f>'Reported burning'!B2758</f>
        <v>305z.7</v>
      </c>
      <c r="C2758" s="152" t="str">
        <f>'Reported burning'!C2758</f>
        <v>Human, deliberate</v>
      </c>
      <c r="D2758" s="152" t="str">
        <f>'Reported burning'!D2758</f>
        <v>Pyrome management</v>
      </c>
      <c r="E2758" s="152" t="str">
        <f>'Reported burning'!E2758</f>
        <v>Fire suppression agent</v>
      </c>
      <c r="F2758" s="152" t="str">
        <f>'Reported burning'!F2758</f>
        <v>ND</v>
      </c>
      <c r="G2758" s="152" t="str">
        <f>'Reported burning'!G2758</f>
        <v>ND</v>
      </c>
      <c r="H2758" s="152" t="str">
        <f>'Reported burning'!H2758</f>
        <v>Presence</v>
      </c>
      <c r="I2758" s="204"/>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2" t="str">
        <f>'Reported burning'!A2759</f>
        <v>305aa</v>
      </c>
      <c r="B2759" s="152" t="str">
        <f>'Reported burning'!B2759</f>
        <v>305aa.7</v>
      </c>
      <c r="C2759" s="152" t="str">
        <f>'Reported burning'!C2759</f>
        <v>Human, deliberate</v>
      </c>
      <c r="D2759" s="152" t="str">
        <f>'Reported burning'!D2759</f>
        <v>Pyrome management</v>
      </c>
      <c r="E2759" s="152" t="str">
        <f>'Reported burning'!E2759</f>
        <v>Fire suppression agent</v>
      </c>
      <c r="F2759" s="152" t="str">
        <f>'Reported burning'!F2759</f>
        <v>ND</v>
      </c>
      <c r="G2759" s="152" t="str">
        <f>'Reported burning'!G2759</f>
        <v>ND</v>
      </c>
      <c r="H2759" s="152" t="str">
        <f>'Reported burning'!H2759</f>
        <v>Presence</v>
      </c>
      <c r="I2759" s="204"/>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2" t="str">
        <f>'Reported burning'!A2760</f>
        <v>305ab</v>
      </c>
      <c r="B2760" s="152" t="str">
        <f>'Reported burning'!B2760</f>
        <v>305ab.7</v>
      </c>
      <c r="C2760" s="152" t="str">
        <f>'Reported burning'!C2760</f>
        <v>Human, deliberate</v>
      </c>
      <c r="D2760" s="152" t="str">
        <f>'Reported burning'!D2760</f>
        <v>Pyrome management</v>
      </c>
      <c r="E2760" s="152" t="str">
        <f>'Reported burning'!E2760</f>
        <v>Fire suppression agent</v>
      </c>
      <c r="F2760" s="152" t="str">
        <f>'Reported burning'!F2760</f>
        <v>ND</v>
      </c>
      <c r="G2760" s="152" t="str">
        <f>'Reported burning'!G2760</f>
        <v>ND</v>
      </c>
      <c r="H2760" s="152" t="str">
        <f>'Reported burning'!H2760</f>
        <v>Presence</v>
      </c>
      <c r="I2760" s="204"/>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52" t="str">
        <f>'Reported burning'!A2761</f>
        <v>305ac</v>
      </c>
      <c r="B2761" s="152" t="str">
        <f>'Reported burning'!B2761</f>
        <v>305ac.7</v>
      </c>
      <c r="C2761" s="152" t="str">
        <f>'Reported burning'!C2761</f>
        <v>Human, deliberate</v>
      </c>
      <c r="D2761" s="152" t="str">
        <f>'Reported burning'!D2761</f>
        <v>Pyrome management</v>
      </c>
      <c r="E2761" s="152" t="str">
        <f>'Reported burning'!E2761</f>
        <v>Fire suppression agent</v>
      </c>
      <c r="F2761" s="152" t="str">
        <f>'Reported burning'!F2761</f>
        <v>ND</v>
      </c>
      <c r="G2761" s="152" t="str">
        <f>'Reported burning'!G2761</f>
        <v>ND</v>
      </c>
      <c r="H2761" s="152" t="str">
        <f>'Reported burning'!H2761</f>
        <v>Presence</v>
      </c>
      <c r="I2761" s="204"/>
      <c r="J2761" s="204" t="s">
        <v>2276</v>
      </c>
      <c r="K2761" s="204" t="s">
        <v>2276</v>
      </c>
      <c r="L2761" s="204" t="s">
        <v>2276</v>
      </c>
      <c r="M2761" s="204" t="s">
        <v>2276</v>
      </c>
      <c r="N2761" s="204" t="s">
        <v>2276</v>
      </c>
      <c r="O2761" s="204" t="s">
        <v>2276</v>
      </c>
      <c r="P2761" s="204" t="s">
        <v>2276</v>
      </c>
      <c r="Q2761" s="204" t="s">
        <v>2276</v>
      </c>
      <c r="R2761" s="204" t="s">
        <v>2276</v>
      </c>
      <c r="S2761" s="204" t="s">
        <v>2276</v>
      </c>
      <c r="T2761" s="204" t="s">
        <v>2276</v>
      </c>
      <c r="U2761" s="204" t="s">
        <v>2276</v>
      </c>
      <c r="V2761" s="204" t="s">
        <v>2276</v>
      </c>
      <c r="W2761" s="204" t="s">
        <v>2276</v>
      </c>
      <c r="X2761" s="204" t="s">
        <v>68</v>
      </c>
      <c r="Y2761" s="204" t="s">
        <v>86</v>
      </c>
      <c r="Z2761" s="204" t="s">
        <v>76</v>
      </c>
      <c r="AA2761" s="204"/>
      <c r="AB2761" s="204"/>
    </row>
    <row r="2762" spans="1:28" ht="34.5" customHeight="1">
      <c r="A2762" s="152" t="str">
        <f>'Reported burning'!A2762</f>
        <v>305ad</v>
      </c>
      <c r="B2762" s="152" t="str">
        <f>'Reported burning'!B2762</f>
        <v>305ad.7</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305ae</v>
      </c>
      <c r="B2763" s="152" t="str">
        <f>'Reported burning'!B2763</f>
        <v>305ae.7</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305n</v>
      </c>
      <c r="B2764" s="152" t="str">
        <f>'Reported burning'!B2764</f>
        <v>305n.8</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305o</v>
      </c>
      <c r="B2765" s="152" t="str">
        <f>'Reported burning'!B2765</f>
        <v>305o.8</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305p</v>
      </c>
      <c r="B2766" s="152" t="str">
        <f>'Reported burning'!B2766</f>
        <v>305p.8</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305q</v>
      </c>
      <c r="B2767" s="152" t="str">
        <f>'Reported burning'!B2767</f>
        <v>305q.8</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305r</v>
      </c>
      <c r="B2768" s="152" t="str">
        <f>'Reported burning'!B2768</f>
        <v>305r.8</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Absence</v>
      </c>
      <c r="I2768" s="204"/>
      <c r="J2768" s="21" t="s">
        <v>2364</v>
      </c>
      <c r="K2768" s="21" t="s">
        <v>2364</v>
      </c>
      <c r="L2768" s="21" t="s">
        <v>2364</v>
      </c>
      <c r="M2768" s="21" t="s">
        <v>2364</v>
      </c>
      <c r="N2768" s="21" t="s">
        <v>2364</v>
      </c>
      <c r="O2768" s="21" t="s">
        <v>2364</v>
      </c>
      <c r="P2768" s="21" t="s">
        <v>2364</v>
      </c>
      <c r="Q2768" s="21" t="s">
        <v>2364</v>
      </c>
      <c r="R2768" s="21" t="s">
        <v>2364</v>
      </c>
      <c r="S2768" s="21" t="s">
        <v>2364</v>
      </c>
      <c r="T2768" s="21" t="s">
        <v>2364</v>
      </c>
      <c r="U2768" s="21" t="s">
        <v>2364</v>
      </c>
      <c r="V2768" s="21" t="s">
        <v>2364</v>
      </c>
      <c r="W2768" s="204" t="s">
        <v>2276</v>
      </c>
      <c r="X2768" s="204" t="s">
        <v>68</v>
      </c>
      <c r="Y2768" s="204" t="s">
        <v>86</v>
      </c>
      <c r="Z2768" s="204" t="s">
        <v>76</v>
      </c>
      <c r="AA2768" s="204"/>
      <c r="AB2768" s="204"/>
    </row>
    <row r="2769" spans="1:28" ht="34.5" customHeight="1">
      <c r="A2769" s="152" t="str">
        <f>'Reported burning'!A2769</f>
        <v>305s</v>
      </c>
      <c r="B2769" s="152" t="str">
        <f>'Reported burning'!B2769</f>
        <v>305s.8</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305t</v>
      </c>
      <c r="B2770" s="152" t="str">
        <f>'Reported burning'!B2770</f>
        <v>305t.8</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305u</v>
      </c>
      <c r="B2771" s="152" t="str">
        <f>'Reported burning'!B2771</f>
        <v>305u.8</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Presence</v>
      </c>
      <c r="I2771" s="204"/>
      <c r="J2771" s="204" t="s">
        <v>2276</v>
      </c>
      <c r="K2771" s="204" t="s">
        <v>2276</v>
      </c>
      <c r="L2771" s="204" t="s">
        <v>2276</v>
      </c>
      <c r="M2771" s="204" t="s">
        <v>2276</v>
      </c>
      <c r="N2771" s="204" t="s">
        <v>2276</v>
      </c>
      <c r="O2771" s="204" t="s">
        <v>2276</v>
      </c>
      <c r="P2771" s="204" t="s">
        <v>2276</v>
      </c>
      <c r="Q2771" s="204" t="s">
        <v>2276</v>
      </c>
      <c r="R2771" s="204" t="s">
        <v>2276</v>
      </c>
      <c r="S2771" s="204" t="s">
        <v>2276</v>
      </c>
      <c r="T2771" s="204" t="s">
        <v>2276</v>
      </c>
      <c r="U2771" s="204" t="s">
        <v>2276</v>
      </c>
      <c r="V2771" s="204" t="s">
        <v>2276</v>
      </c>
      <c r="W2771" s="204" t="s">
        <v>2276</v>
      </c>
      <c r="X2771" s="204" t="s">
        <v>68</v>
      </c>
      <c r="Y2771" s="204" t="s">
        <v>86</v>
      </c>
      <c r="Z2771" s="204" t="s">
        <v>76</v>
      </c>
      <c r="AA2771" s="204"/>
      <c r="AB2771" s="204"/>
    </row>
    <row r="2772" spans="1:28" ht="34.5" customHeight="1">
      <c r="A2772" s="152" t="str">
        <f>'Reported burning'!A2772</f>
        <v>305v</v>
      </c>
      <c r="B2772" s="152" t="str">
        <f>'Reported burning'!B2772</f>
        <v>305v.8</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305w</v>
      </c>
      <c r="B2773" s="152" t="str">
        <f>'Reported burning'!B2773</f>
        <v>305w.8</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305x</v>
      </c>
      <c r="B2774" s="152" t="str">
        <f>'Reported burning'!B2774</f>
        <v>305x.8</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305y</v>
      </c>
      <c r="B2775" s="152" t="str">
        <f>'Reported burning'!B2775</f>
        <v>305y.8</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305z</v>
      </c>
      <c r="B2776" s="152" t="str">
        <f>'Reported burning'!B2776</f>
        <v>305z.8</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305aa</v>
      </c>
      <c r="B2777" s="152" t="str">
        <f>'Reported burning'!B2777</f>
        <v>305aa.8</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305ab</v>
      </c>
      <c r="B2778" s="152" t="str">
        <f>'Reported burning'!B2778</f>
        <v>305ab.8</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305ac</v>
      </c>
      <c r="B2779" s="152" t="str">
        <f>'Reported burning'!B2779</f>
        <v>305ac.8</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305ad</v>
      </c>
      <c r="B2780" s="152" t="str">
        <f>'Reported burning'!B2780</f>
        <v>305ad.8</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305ae</v>
      </c>
      <c r="B2781" s="152" t="str">
        <f>'Reported burning'!B2781</f>
        <v>305ae.8</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305n</v>
      </c>
      <c r="B2782" s="152" t="str">
        <f>'Reported burning'!B2782</f>
        <v>305n.9</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305o</v>
      </c>
      <c r="B2783" s="152" t="str">
        <f>'Reported burning'!B2783</f>
        <v>305o.9</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305p</v>
      </c>
      <c r="B2784" s="152" t="str">
        <f>'Reported burning'!B2784</f>
        <v>305p.9</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305q</v>
      </c>
      <c r="B2785" s="152" t="str">
        <f>'Reported burning'!B2785</f>
        <v>305q.9</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305r</v>
      </c>
      <c r="B2786" s="152" t="str">
        <f>'Reported burning'!B2786</f>
        <v>305r.9</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Absence</v>
      </c>
      <c r="I2786" s="204"/>
      <c r="J2786" s="21" t="s">
        <v>2364</v>
      </c>
      <c r="K2786" s="21" t="s">
        <v>2364</v>
      </c>
      <c r="L2786" s="21" t="s">
        <v>2364</v>
      </c>
      <c r="M2786" s="21" t="s">
        <v>2364</v>
      </c>
      <c r="N2786" s="21" t="s">
        <v>2364</v>
      </c>
      <c r="O2786" s="21" t="s">
        <v>2364</v>
      </c>
      <c r="P2786" s="21" t="s">
        <v>2364</v>
      </c>
      <c r="Q2786" s="21" t="s">
        <v>2364</v>
      </c>
      <c r="R2786" s="21" t="s">
        <v>2364</v>
      </c>
      <c r="S2786" s="21" t="s">
        <v>2364</v>
      </c>
      <c r="T2786" s="21" t="s">
        <v>2364</v>
      </c>
      <c r="U2786" s="21" t="s">
        <v>2364</v>
      </c>
      <c r="V2786" s="21" t="s">
        <v>2364</v>
      </c>
      <c r="W2786" s="204" t="s">
        <v>2276</v>
      </c>
      <c r="X2786" s="204" t="s">
        <v>68</v>
      </c>
      <c r="Y2786" s="204" t="s">
        <v>86</v>
      </c>
      <c r="Z2786" s="204" t="s">
        <v>76</v>
      </c>
      <c r="AA2786" s="204"/>
      <c r="AB2786" s="204"/>
    </row>
    <row r="2787" spans="1:28" ht="34.5" customHeight="1">
      <c r="A2787" s="152" t="str">
        <f>'Reported burning'!A2787</f>
        <v>305s</v>
      </c>
      <c r="B2787" s="152" t="str">
        <f>'Reported burning'!B2787</f>
        <v>305s.9</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305t</v>
      </c>
      <c r="B2788" s="152" t="str">
        <f>'Reported burning'!B2788</f>
        <v>305t.9</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305u</v>
      </c>
      <c r="B2789" s="152" t="str">
        <f>'Reported burning'!B2789</f>
        <v>305u.9</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Presence</v>
      </c>
      <c r="I2789" s="204"/>
      <c r="J2789" s="204" t="s">
        <v>2276</v>
      </c>
      <c r="K2789" s="204" t="s">
        <v>2276</v>
      </c>
      <c r="L2789" s="204" t="s">
        <v>2276</v>
      </c>
      <c r="M2789" s="204" t="s">
        <v>2276</v>
      </c>
      <c r="N2789" s="204" t="s">
        <v>2276</v>
      </c>
      <c r="O2789" s="204" t="s">
        <v>2276</v>
      </c>
      <c r="P2789" s="204" t="s">
        <v>2276</v>
      </c>
      <c r="Q2789" s="204" t="s">
        <v>2276</v>
      </c>
      <c r="R2789" s="204" t="s">
        <v>2276</v>
      </c>
      <c r="S2789" s="204" t="s">
        <v>2276</v>
      </c>
      <c r="T2789" s="204" t="s">
        <v>2276</v>
      </c>
      <c r="U2789" s="204" t="s">
        <v>2276</v>
      </c>
      <c r="V2789" s="204" t="s">
        <v>2276</v>
      </c>
      <c r="W2789" s="204" t="s">
        <v>2276</v>
      </c>
      <c r="X2789" s="204" t="s">
        <v>68</v>
      </c>
      <c r="Y2789" s="204" t="s">
        <v>86</v>
      </c>
      <c r="Z2789" s="204" t="s">
        <v>76</v>
      </c>
      <c r="AA2789" s="204"/>
      <c r="AB2789" s="204"/>
    </row>
    <row r="2790" spans="1:28" ht="34.5" customHeight="1">
      <c r="A2790" s="152" t="str">
        <f>'Reported burning'!A2790</f>
        <v>305v</v>
      </c>
      <c r="B2790" s="152" t="str">
        <f>'Reported burning'!B2790</f>
        <v>305v.9</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305w</v>
      </c>
      <c r="B2791" s="152" t="str">
        <f>'Reported burning'!B2791</f>
        <v>305w.9</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305x</v>
      </c>
      <c r="B2792" s="152" t="str">
        <f>'Reported burning'!B2792</f>
        <v>305x.9</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305y</v>
      </c>
      <c r="B2793" s="152" t="str">
        <f>'Reported burning'!B2793</f>
        <v>305y.9</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305z</v>
      </c>
      <c r="B2794" s="152" t="str">
        <f>'Reported burning'!B2794</f>
        <v>305z.9</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305aa</v>
      </c>
      <c r="B2795" s="152" t="str">
        <f>'Reported burning'!B2795</f>
        <v>305aa.9</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305ab</v>
      </c>
      <c r="B2796" s="152" t="str">
        <f>'Reported burning'!B2796</f>
        <v>305ab.9</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305ac</v>
      </c>
      <c r="B2797" s="152" t="str">
        <f>'Reported burning'!B2797</f>
        <v>305ac.9</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305ad</v>
      </c>
      <c r="B2798" s="152" t="str">
        <f>'Reported burning'!B2798</f>
        <v>305ad.9</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305ae</v>
      </c>
      <c r="B2799" s="152" t="str">
        <f>'Reported burning'!B2799</f>
        <v>305ae.9</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305n</v>
      </c>
      <c r="B2800" s="152" t="str">
        <f>'Reported burning'!B2800</f>
        <v>305n.10</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305o</v>
      </c>
      <c r="B2801" s="152" t="str">
        <f>'Reported burning'!B2801</f>
        <v>305o.10</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305p</v>
      </c>
      <c r="B2802" s="152" t="str">
        <f>'Reported burning'!B2802</f>
        <v>305p.10</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305q</v>
      </c>
      <c r="B2803" s="152" t="str">
        <f>'Reported burning'!B2803</f>
        <v>305q.10</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305r</v>
      </c>
      <c r="B2804" s="152" t="str">
        <f>'Reported burning'!B2804</f>
        <v>305r.10</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Absence</v>
      </c>
      <c r="I2804" s="204"/>
      <c r="J2804" s="21" t="s">
        <v>2364</v>
      </c>
      <c r="K2804" s="21" t="s">
        <v>2364</v>
      </c>
      <c r="L2804" s="21" t="s">
        <v>2364</v>
      </c>
      <c r="M2804" s="21" t="s">
        <v>2364</v>
      </c>
      <c r="N2804" s="21" t="s">
        <v>2364</v>
      </c>
      <c r="O2804" s="21" t="s">
        <v>2364</v>
      </c>
      <c r="P2804" s="21" t="s">
        <v>2364</v>
      </c>
      <c r="Q2804" s="21" t="s">
        <v>2364</v>
      </c>
      <c r="R2804" s="21" t="s">
        <v>2364</v>
      </c>
      <c r="S2804" s="21" t="s">
        <v>2364</v>
      </c>
      <c r="T2804" s="21" t="s">
        <v>2364</v>
      </c>
      <c r="U2804" s="21" t="s">
        <v>2364</v>
      </c>
      <c r="V2804" s="21" t="s">
        <v>2364</v>
      </c>
      <c r="W2804" s="204" t="s">
        <v>2276</v>
      </c>
      <c r="X2804" s="204" t="s">
        <v>68</v>
      </c>
      <c r="Y2804" s="204" t="s">
        <v>86</v>
      </c>
      <c r="Z2804" s="204" t="s">
        <v>76</v>
      </c>
      <c r="AA2804" s="204"/>
      <c r="AB2804" s="204"/>
    </row>
    <row r="2805" spans="1:28" ht="34.5" customHeight="1">
      <c r="A2805" s="152" t="str">
        <f>'Reported burning'!A2805</f>
        <v>305s</v>
      </c>
      <c r="B2805" s="152" t="str">
        <f>'Reported burning'!B2805</f>
        <v>305s.10</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305t</v>
      </c>
      <c r="B2806" s="152" t="str">
        <f>'Reported burning'!B2806</f>
        <v>305t.10</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305u</v>
      </c>
      <c r="B2807" s="152" t="str">
        <f>'Reported burning'!B2807</f>
        <v>305u.10</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Presence</v>
      </c>
      <c r="I2807" s="204"/>
      <c r="J2807" s="204" t="s">
        <v>2276</v>
      </c>
      <c r="K2807" s="204" t="s">
        <v>2276</v>
      </c>
      <c r="L2807" s="204" t="s">
        <v>2276</v>
      </c>
      <c r="M2807" s="204" t="s">
        <v>2276</v>
      </c>
      <c r="N2807" s="204" t="s">
        <v>2276</v>
      </c>
      <c r="O2807" s="204" t="s">
        <v>2276</v>
      </c>
      <c r="P2807" s="204" t="s">
        <v>2276</v>
      </c>
      <c r="Q2807" s="204" t="s">
        <v>2276</v>
      </c>
      <c r="R2807" s="204" t="s">
        <v>2276</v>
      </c>
      <c r="S2807" s="204" t="s">
        <v>2276</v>
      </c>
      <c r="T2807" s="204" t="s">
        <v>2276</v>
      </c>
      <c r="U2807" s="204" t="s">
        <v>2276</v>
      </c>
      <c r="V2807" s="204" t="s">
        <v>2276</v>
      </c>
      <c r="W2807" s="204" t="s">
        <v>2276</v>
      </c>
      <c r="X2807" s="204" t="s">
        <v>68</v>
      </c>
      <c r="Y2807" s="204" t="s">
        <v>86</v>
      </c>
      <c r="Z2807" s="204" t="s">
        <v>76</v>
      </c>
      <c r="AA2807" s="204"/>
      <c r="AB2807" s="204"/>
    </row>
    <row r="2808" spans="1:28" ht="34.5" customHeight="1">
      <c r="A2808" s="152" t="str">
        <f>'Reported burning'!A2808</f>
        <v>305v</v>
      </c>
      <c r="B2808" s="152" t="str">
        <f>'Reported burning'!B2808</f>
        <v>305v.10</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305w</v>
      </c>
      <c r="B2809" s="152" t="str">
        <f>'Reported burning'!B2809</f>
        <v>305w.10</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305x</v>
      </c>
      <c r="B2810" s="152" t="str">
        <f>'Reported burning'!B2810</f>
        <v>305x.10</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305y</v>
      </c>
      <c r="B2811" s="152" t="str">
        <f>'Reported burning'!B2811</f>
        <v>305y.10</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305z</v>
      </c>
      <c r="B2812" s="152" t="str">
        <f>'Reported burning'!B2812</f>
        <v>305z.10</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305aa</v>
      </c>
      <c r="B2813" s="152" t="str">
        <f>'Reported burning'!B2813</f>
        <v>305aa.10</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305ab</v>
      </c>
      <c r="B2814" s="152" t="str">
        <f>'Reported burning'!B2814</f>
        <v>305ab.10</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305ac</v>
      </c>
      <c r="B2815" s="152" t="str">
        <f>'Reported burning'!B2815</f>
        <v>305ac.10</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305ad</v>
      </c>
      <c r="B2816" s="152" t="str">
        <f>'Reported burning'!B2816</f>
        <v>305ad.10</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305ae</v>
      </c>
      <c r="B2817" s="152" t="str">
        <f>'Reported burning'!B2817</f>
        <v>305ae.10</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6" t="str">
        <f>'Reported burning'!A2818</f>
        <v>305af</v>
      </c>
      <c r="B2818" s="156" t="str">
        <f>'Reported burning'!B2818</f>
        <v>305af.1</v>
      </c>
      <c r="C2818" s="156" t="str">
        <f>'Reported burning'!C2818</f>
        <v>Human, deliberate</v>
      </c>
      <c r="D2818" s="156" t="str">
        <f>'Reported burning'!D2818</f>
        <v>Pyrome management</v>
      </c>
      <c r="E2818" s="156" t="str">
        <f>'Reported burning'!E2818</f>
        <v>Fire suppression agent</v>
      </c>
      <c r="F2818" s="156" t="str">
        <f>'Reported burning'!F2818</f>
        <v>ND</v>
      </c>
      <c r="G2818" s="156" t="str">
        <f>'Reported burning'!G2818</f>
        <v>ND</v>
      </c>
      <c r="H2818" s="156" t="str">
        <f>'Reported burning'!H2818</f>
        <v>Presence</v>
      </c>
      <c r="I2818" s="5"/>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188</v>
      </c>
      <c r="Y2818" s="204" t="s">
        <v>189</v>
      </c>
      <c r="Z2818" s="204" t="s">
        <v>64</v>
      </c>
      <c r="AA2818" s="204"/>
      <c r="AB2818" s="204"/>
    </row>
    <row r="2819" spans="1:28" ht="34.5" customHeight="1">
      <c r="A2819" s="156" t="str">
        <f>'Reported burning'!A2819</f>
        <v>305af</v>
      </c>
      <c r="B2819" s="156" t="str">
        <f>'Reported burning'!B2819</f>
        <v>305af.2</v>
      </c>
      <c r="C2819" s="156" t="str">
        <f>'Reported burning'!C2819</f>
        <v>Human, deliberate</v>
      </c>
      <c r="D2819" s="156" t="str">
        <f>'Reported burning'!D2819</f>
        <v>Pyrome management</v>
      </c>
      <c r="E2819" s="156" t="str">
        <f>'Reported burning'!E2819</f>
        <v>Fire suppression agent</v>
      </c>
      <c r="F2819" s="156" t="str">
        <f>'Reported burning'!F2819</f>
        <v>ND</v>
      </c>
      <c r="G2819" s="156" t="str">
        <f>'Reported burning'!G2819</f>
        <v>ND</v>
      </c>
      <c r="H2819" s="156" t="str">
        <f>'Reported burning'!H2819</f>
        <v>Presence</v>
      </c>
      <c r="I2819" s="5"/>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188</v>
      </c>
      <c r="Y2819" s="204" t="s">
        <v>189</v>
      </c>
      <c r="Z2819" s="204" t="s">
        <v>64</v>
      </c>
      <c r="AA2819" s="204"/>
      <c r="AB2819" s="204"/>
    </row>
    <row r="2820" spans="1:28" ht="29" customHeight="1">
      <c r="A2820" s="156" t="str">
        <f>'Reported burning'!A2820</f>
        <v>305af</v>
      </c>
      <c r="B2820" s="156" t="str">
        <f>'Reported burning'!B2820</f>
        <v>305af.3</v>
      </c>
      <c r="C2820" s="156" t="str">
        <f>'Reported burning'!C2820</f>
        <v>Human, deliberate</v>
      </c>
      <c r="D2820" s="156" t="str">
        <f>'Reported burning'!D2820</f>
        <v>Pyrome management</v>
      </c>
      <c r="E2820" s="156" t="str">
        <f>'Reported burning'!E2820</f>
        <v>Fire suppression agent</v>
      </c>
      <c r="F2820" s="156" t="str">
        <f>'Reported burning'!F2820</f>
        <v>ND</v>
      </c>
      <c r="G2820" s="156" t="str">
        <f>'Reported burning'!G2820</f>
        <v>ND</v>
      </c>
      <c r="H2820" s="156" t="str">
        <f>'Reported burning'!H2820</f>
        <v>Presence</v>
      </c>
      <c r="I2820" s="5"/>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188</v>
      </c>
      <c r="Y2820" s="204" t="s">
        <v>189</v>
      </c>
      <c r="Z2820" s="204" t="s">
        <v>64</v>
      </c>
      <c r="AA2820" s="204"/>
      <c r="AB2820" s="204"/>
    </row>
    <row r="2821" spans="1:28" ht="29" customHeight="1">
      <c r="A2821" s="156" t="str">
        <f>'Reported burning'!A2821</f>
        <v>305af</v>
      </c>
      <c r="B2821" s="156" t="str">
        <f>'Reported burning'!B2821</f>
        <v>305af.4</v>
      </c>
      <c r="C2821" s="156" t="str">
        <f>'Reported burning'!C2821</f>
        <v>Human, deliberate</v>
      </c>
      <c r="D2821" s="156" t="str">
        <f>'Reported burning'!D2821</f>
        <v>Pyrome management</v>
      </c>
      <c r="E2821" s="156" t="str">
        <f>'Reported burning'!E2821</f>
        <v>Fire suppression agent</v>
      </c>
      <c r="F2821" s="156" t="str">
        <f>'Reported burning'!F2821</f>
        <v>ND</v>
      </c>
      <c r="G2821" s="156" t="str">
        <f>'Reported burning'!G2821</f>
        <v>ND</v>
      </c>
      <c r="H2821" s="156" t="str">
        <f>'Reported burning'!H2821</f>
        <v>Presence</v>
      </c>
      <c r="I2821" s="5"/>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188</v>
      </c>
      <c r="Y2821" s="204" t="s">
        <v>189</v>
      </c>
      <c r="Z2821" s="204" t="s">
        <v>64</v>
      </c>
      <c r="AA2821" s="204"/>
      <c r="AB2821" s="204"/>
    </row>
    <row r="2822" spans="1:28" ht="29" customHeight="1">
      <c r="A2822" s="156" t="str">
        <f>'Reported burning'!A2822</f>
        <v>305af</v>
      </c>
      <c r="B2822" s="156" t="str">
        <f>'Reported burning'!B2822</f>
        <v>305af.5</v>
      </c>
      <c r="C2822" s="156" t="str">
        <f>'Reported burning'!C2822</f>
        <v>Human, deliberate</v>
      </c>
      <c r="D2822" s="156" t="str">
        <f>'Reported burning'!D2822</f>
        <v>Pyrome management</v>
      </c>
      <c r="E2822" s="156" t="str">
        <f>'Reported burning'!E2822</f>
        <v>Fire suppression agent</v>
      </c>
      <c r="F2822" s="156" t="str">
        <f>'Reported burning'!F2822</f>
        <v>ND</v>
      </c>
      <c r="G2822" s="156" t="str">
        <f>'Reported burning'!G2822</f>
        <v>ND</v>
      </c>
      <c r="H2822" s="156" t="str">
        <f>'Reported burning'!H2822</f>
        <v>Presence</v>
      </c>
      <c r="I2822" s="5"/>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188</v>
      </c>
      <c r="Y2822" s="204" t="s">
        <v>189</v>
      </c>
      <c r="Z2822" s="204" t="s">
        <v>64</v>
      </c>
      <c r="AA2822" s="204"/>
      <c r="AB2822" s="204"/>
    </row>
    <row r="2823" spans="1:28" ht="29" customHeight="1">
      <c r="A2823" s="156" t="str">
        <f>'Reported burning'!A2823</f>
        <v>305af</v>
      </c>
      <c r="B2823" s="156" t="str">
        <f>'Reported burning'!B2823</f>
        <v>305af.6</v>
      </c>
      <c r="C2823" s="156" t="str">
        <f>'Reported burning'!C2823</f>
        <v>Human, deliberate</v>
      </c>
      <c r="D2823" s="156" t="str">
        <f>'Reported burning'!D2823</f>
        <v>Pyrome management</v>
      </c>
      <c r="E2823" s="156" t="str">
        <f>'Reported burning'!E2823</f>
        <v>Fire suppression agent</v>
      </c>
      <c r="F2823" s="156" t="str">
        <f>'Reported burning'!F2823</f>
        <v>ND</v>
      </c>
      <c r="G2823" s="156" t="str">
        <f>'Reported burning'!G2823</f>
        <v>ND</v>
      </c>
      <c r="H2823" s="156" t="str">
        <f>'Reported burning'!H2823</f>
        <v>Presence</v>
      </c>
      <c r="I2823" s="5"/>
      <c r="J2823" s="204" t="s">
        <v>2276</v>
      </c>
      <c r="K2823" s="204" t="s">
        <v>2276</v>
      </c>
      <c r="L2823" s="204" t="s">
        <v>2276</v>
      </c>
      <c r="M2823" s="204" t="s">
        <v>2276</v>
      </c>
      <c r="N2823" s="204" t="s">
        <v>2276</v>
      </c>
      <c r="O2823" s="204" t="s">
        <v>2276</v>
      </c>
      <c r="P2823" s="204" t="s">
        <v>2276</v>
      </c>
      <c r="Q2823" s="204" t="s">
        <v>2276</v>
      </c>
      <c r="R2823" s="204" t="s">
        <v>2276</v>
      </c>
      <c r="S2823" s="204" t="s">
        <v>2276</v>
      </c>
      <c r="T2823" s="204" t="s">
        <v>2276</v>
      </c>
      <c r="U2823" s="204" t="s">
        <v>2276</v>
      </c>
      <c r="V2823" s="204" t="s">
        <v>2276</v>
      </c>
      <c r="W2823" s="204" t="s">
        <v>2276</v>
      </c>
      <c r="X2823" s="204" t="s">
        <v>188</v>
      </c>
      <c r="Y2823" s="204" t="s">
        <v>189</v>
      </c>
      <c r="Z2823" s="204" t="s">
        <v>64</v>
      </c>
      <c r="AA2823" s="204"/>
      <c r="AB2823" s="204"/>
    </row>
    <row r="2824" spans="1:28" ht="29" customHeight="1">
      <c r="A2824" s="156" t="str">
        <f>'Reported burning'!A2824</f>
        <v>305af</v>
      </c>
      <c r="B2824" s="156" t="str">
        <f>'Reported burning'!B2824</f>
        <v>305af.7</v>
      </c>
      <c r="C2824" s="156" t="str">
        <f>'Reported burning'!C2824</f>
        <v>Human, deliberate</v>
      </c>
      <c r="D2824" s="156" t="str">
        <f>'Reported burning'!D2824</f>
        <v>Pyrome management</v>
      </c>
      <c r="E2824" s="156" t="str">
        <f>'Reported burning'!E2824</f>
        <v>Fire suppression agent</v>
      </c>
      <c r="F2824" s="156" t="str">
        <f>'Reported burning'!F2824</f>
        <v>ND</v>
      </c>
      <c r="G2824" s="156" t="str">
        <f>'Reported burning'!G2824</f>
        <v>ND</v>
      </c>
      <c r="H2824" s="156" t="str">
        <f>'Reported burning'!H2824</f>
        <v>Presence</v>
      </c>
      <c r="I2824" s="5"/>
      <c r="J2824" s="204" t="s">
        <v>2276</v>
      </c>
      <c r="K2824" s="204" t="s">
        <v>2276</v>
      </c>
      <c r="L2824" s="204" t="s">
        <v>2276</v>
      </c>
      <c r="M2824" s="204" t="s">
        <v>2276</v>
      </c>
      <c r="N2824" s="204" t="s">
        <v>2276</v>
      </c>
      <c r="O2824" s="204" t="s">
        <v>2276</v>
      </c>
      <c r="P2824" s="204" t="s">
        <v>2276</v>
      </c>
      <c r="Q2824" s="204" t="s">
        <v>2276</v>
      </c>
      <c r="R2824" s="204" t="s">
        <v>2276</v>
      </c>
      <c r="S2824" s="204" t="s">
        <v>2276</v>
      </c>
      <c r="T2824" s="204" t="s">
        <v>2276</v>
      </c>
      <c r="U2824" s="204" t="s">
        <v>2276</v>
      </c>
      <c r="V2824" s="204" t="s">
        <v>2276</v>
      </c>
      <c r="W2824" s="204" t="s">
        <v>2276</v>
      </c>
      <c r="X2824" s="204" t="s">
        <v>188</v>
      </c>
      <c r="Y2824" s="204" t="s">
        <v>189</v>
      </c>
      <c r="Z2824" s="204" t="s">
        <v>64</v>
      </c>
      <c r="AA2824" s="204"/>
      <c r="AB2824" s="204"/>
    </row>
    <row r="2825" spans="1:28" ht="29" customHeight="1">
      <c r="A2825" s="156" t="str">
        <f>'Reported burning'!A2825</f>
        <v>305af</v>
      </c>
      <c r="B2825" s="156" t="str">
        <f>'Reported burning'!B2825</f>
        <v>305af.8</v>
      </c>
      <c r="C2825" s="156" t="str">
        <f>'Reported burning'!C2825</f>
        <v>Human, deliberate</v>
      </c>
      <c r="D2825" s="156" t="str">
        <f>'Reported burning'!D2825</f>
        <v>Pyrome management</v>
      </c>
      <c r="E2825" s="156" t="str">
        <f>'Reported burning'!E2825</f>
        <v>Fire suppression agent</v>
      </c>
      <c r="F2825" s="156" t="str">
        <f>'Reported burning'!F2825</f>
        <v>ND</v>
      </c>
      <c r="G2825" s="156" t="str">
        <f>'Reported burning'!G2825</f>
        <v>ND</v>
      </c>
      <c r="H2825" s="156" t="str">
        <f>'Reported burning'!H2825</f>
        <v>Presence</v>
      </c>
      <c r="I2825" s="5"/>
      <c r="J2825" s="204" t="s">
        <v>2276</v>
      </c>
      <c r="K2825" s="204" t="s">
        <v>2276</v>
      </c>
      <c r="L2825" s="204" t="s">
        <v>2276</v>
      </c>
      <c r="M2825" s="204" t="s">
        <v>2276</v>
      </c>
      <c r="N2825" s="204" t="s">
        <v>2276</v>
      </c>
      <c r="O2825" s="204" t="s">
        <v>2276</v>
      </c>
      <c r="P2825" s="204" t="s">
        <v>2276</v>
      </c>
      <c r="Q2825" s="204" t="s">
        <v>2276</v>
      </c>
      <c r="R2825" s="204" t="s">
        <v>2276</v>
      </c>
      <c r="S2825" s="204" t="s">
        <v>2276</v>
      </c>
      <c r="T2825" s="204" t="s">
        <v>2276</v>
      </c>
      <c r="U2825" s="204" t="s">
        <v>2276</v>
      </c>
      <c r="V2825" s="204" t="s">
        <v>2276</v>
      </c>
      <c r="W2825" s="204" t="s">
        <v>2276</v>
      </c>
      <c r="X2825" s="204" t="s">
        <v>188</v>
      </c>
      <c r="Y2825" s="204" t="s">
        <v>189</v>
      </c>
      <c r="Z2825" s="204" t="s">
        <v>64</v>
      </c>
      <c r="AA2825" s="204"/>
      <c r="AB2825" s="204"/>
    </row>
    <row r="2826" spans="1:28" ht="29" customHeight="1">
      <c r="A2826" s="156" t="str">
        <f>'Reported burning'!A2826</f>
        <v>305af</v>
      </c>
      <c r="B2826" s="156" t="str">
        <f>'Reported burning'!B2826</f>
        <v>305af.9</v>
      </c>
      <c r="C2826" s="156" t="str">
        <f>'Reported burning'!C2826</f>
        <v>Human, deliberate</v>
      </c>
      <c r="D2826" s="156" t="str">
        <f>'Reported burning'!D2826</f>
        <v>Pyrome management</v>
      </c>
      <c r="E2826" s="156" t="str">
        <f>'Reported burning'!E2826</f>
        <v>Fire suppression agent</v>
      </c>
      <c r="F2826" s="156" t="str">
        <f>'Reported burning'!F2826</f>
        <v>ND</v>
      </c>
      <c r="G2826" s="156" t="str">
        <f>'Reported burning'!G2826</f>
        <v>ND</v>
      </c>
      <c r="H2826" s="156" t="str">
        <f>'Reported burning'!H2826</f>
        <v>Presence</v>
      </c>
      <c r="I2826" s="5"/>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188</v>
      </c>
      <c r="Y2826" s="204" t="s">
        <v>189</v>
      </c>
      <c r="Z2826" s="204" t="s">
        <v>64</v>
      </c>
      <c r="AA2826" s="204"/>
      <c r="AB2826" s="204"/>
    </row>
    <row r="2827" spans="1:28" ht="29" customHeight="1">
      <c r="A2827" s="156" t="str">
        <f>'Reported burning'!A2827</f>
        <v>305af</v>
      </c>
      <c r="B2827" s="156" t="str">
        <f>'Reported burning'!B2827</f>
        <v>305af.10</v>
      </c>
      <c r="C2827" s="156" t="str">
        <f>'Reported burning'!C2827</f>
        <v>Human, deliberate</v>
      </c>
      <c r="D2827" s="156" t="str">
        <f>'Reported burning'!D2827</f>
        <v>Pyrome management</v>
      </c>
      <c r="E2827" s="156" t="str">
        <f>'Reported burning'!E2827</f>
        <v>Fire suppression agent</v>
      </c>
      <c r="F2827" s="156" t="str">
        <f>'Reported burning'!F2827</f>
        <v>ND</v>
      </c>
      <c r="G2827" s="156" t="str">
        <f>'Reported burning'!G2827</f>
        <v>ND</v>
      </c>
      <c r="H2827" s="156" t="str">
        <f>'Reported burning'!H2827</f>
        <v>Presence</v>
      </c>
      <c r="I2827" s="5"/>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188</v>
      </c>
      <c r="Y2827" s="204" t="s">
        <v>189</v>
      </c>
      <c r="Z2827" s="204" t="s">
        <v>64</v>
      </c>
      <c r="AA2827" s="204"/>
      <c r="AB2827" s="204"/>
    </row>
    <row r="2828" spans="1:28" ht="29" customHeight="1">
      <c r="A2828" s="156" t="str">
        <f>'Reported burning'!A2828</f>
        <v>305af</v>
      </c>
      <c r="B2828" s="156" t="str">
        <f>'Reported burning'!B2828</f>
        <v>305af.11</v>
      </c>
      <c r="C2828" s="156" t="str">
        <f>'Reported burning'!C2828</f>
        <v>Human, deliberate</v>
      </c>
      <c r="D2828" s="156" t="str">
        <f>'Reported burning'!D2828</f>
        <v>Pyrome management</v>
      </c>
      <c r="E2828" s="156" t="str">
        <f>'Reported burning'!E2828</f>
        <v>Fire suppression agent</v>
      </c>
      <c r="F2828" s="156" t="str">
        <f>'Reported burning'!F2828</f>
        <v>ND</v>
      </c>
      <c r="G2828" s="156" t="str">
        <f>'Reported burning'!G2828</f>
        <v>ND</v>
      </c>
      <c r="H2828" s="156" t="str">
        <f>'Reported burning'!H2828</f>
        <v>Presence</v>
      </c>
      <c r="I2828" s="5"/>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188</v>
      </c>
      <c r="Y2828" s="204" t="s">
        <v>189</v>
      </c>
      <c r="Z2828" s="204" t="s">
        <v>64</v>
      </c>
      <c r="AA2828" s="204"/>
      <c r="AB2828" s="204"/>
    </row>
    <row r="2829" spans="1:28" ht="29" customHeight="1">
      <c r="A2829" s="156" t="str">
        <f>'Reported burning'!A2829</f>
        <v>305af</v>
      </c>
      <c r="B2829" s="156" t="str">
        <f>'Reported burning'!B2829</f>
        <v>305af.12</v>
      </c>
      <c r="C2829" s="156" t="str">
        <f>'Reported burning'!C2829</f>
        <v>Human, deliberate</v>
      </c>
      <c r="D2829" s="156" t="str">
        <f>'Reported burning'!D2829</f>
        <v>Pyrome management</v>
      </c>
      <c r="E2829" s="156" t="str">
        <f>'Reported burning'!E2829</f>
        <v>Fire suppression agent</v>
      </c>
      <c r="F2829" s="156" t="str">
        <f>'Reported burning'!F2829</f>
        <v>ND</v>
      </c>
      <c r="G2829" s="156" t="str">
        <f>'Reported burning'!G2829</f>
        <v>ND</v>
      </c>
      <c r="H2829" s="156" t="str">
        <f>'Reported burning'!H2829</f>
        <v>Presence</v>
      </c>
      <c r="I2829" s="5"/>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188</v>
      </c>
      <c r="Y2829" s="204" t="s">
        <v>189</v>
      </c>
      <c r="Z2829" s="204" t="s">
        <v>64</v>
      </c>
      <c r="AA2829" s="204"/>
      <c r="AB2829" s="204"/>
    </row>
    <row r="2830" spans="1:28" ht="29" customHeight="1">
      <c r="A2830" s="156" t="str">
        <f>'Reported burning'!A2830</f>
        <v>305af</v>
      </c>
      <c r="B2830" s="156" t="str">
        <f>'Reported burning'!B2830</f>
        <v>305af.13</v>
      </c>
      <c r="C2830" s="156" t="str">
        <f>'Reported burning'!C2830</f>
        <v>Human, deliberate</v>
      </c>
      <c r="D2830" s="156" t="str">
        <f>'Reported burning'!D2830</f>
        <v>Pyrome management</v>
      </c>
      <c r="E2830" s="156" t="str">
        <f>'Reported burning'!E2830</f>
        <v>Fire suppression agent</v>
      </c>
      <c r="F2830" s="156" t="str">
        <f>'Reported burning'!F2830</f>
        <v>ND</v>
      </c>
      <c r="G2830" s="156" t="str">
        <f>'Reported burning'!G2830</f>
        <v>ND</v>
      </c>
      <c r="H2830" s="156" t="str">
        <f>'Reported burning'!H2830</f>
        <v>Presence</v>
      </c>
      <c r="I2830" s="5"/>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188</v>
      </c>
      <c r="Y2830" s="204" t="s">
        <v>189</v>
      </c>
      <c r="Z2830" s="204" t="s">
        <v>64</v>
      </c>
      <c r="AA2830" s="204"/>
      <c r="AB2830" s="204"/>
    </row>
    <row r="2831" spans="1:28" ht="29" customHeight="1">
      <c r="A2831" s="156" t="str">
        <f>'Reported burning'!A2831</f>
        <v>305af</v>
      </c>
      <c r="B2831" s="156" t="str">
        <f>'Reported burning'!B2831</f>
        <v>305af.14</v>
      </c>
      <c r="C2831" s="156" t="str">
        <f>'Reported burning'!C2831</f>
        <v>Human, deliberate</v>
      </c>
      <c r="D2831" s="156" t="str">
        <f>'Reported burning'!D2831</f>
        <v>Pyrome management</v>
      </c>
      <c r="E2831" s="156" t="str">
        <f>'Reported burning'!E2831</f>
        <v>Fire suppression agent</v>
      </c>
      <c r="F2831" s="156" t="str">
        <f>'Reported burning'!F2831</f>
        <v>ND</v>
      </c>
      <c r="G2831" s="156" t="str">
        <f>'Reported burning'!G2831</f>
        <v>ND</v>
      </c>
      <c r="H2831" s="156" t="str">
        <f>'Reported burning'!H2831</f>
        <v>Presence</v>
      </c>
      <c r="I2831" s="5"/>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188</v>
      </c>
      <c r="Y2831" s="204" t="s">
        <v>189</v>
      </c>
      <c r="Z2831" s="204" t="s">
        <v>64</v>
      </c>
      <c r="AA2831" s="204"/>
      <c r="AB2831" s="204"/>
    </row>
    <row r="2832" spans="1:28" ht="29" customHeight="1">
      <c r="A2832" s="156" t="str">
        <f>'Reported burning'!A2832</f>
        <v>305af</v>
      </c>
      <c r="B2832" s="156" t="str">
        <f>'Reported burning'!B2832</f>
        <v>305af.15</v>
      </c>
      <c r="C2832" s="156" t="str">
        <f>'Reported burning'!C2832</f>
        <v>Human, deliberate</v>
      </c>
      <c r="D2832" s="156" t="str">
        <f>'Reported burning'!D2832</f>
        <v>Pyrome management</v>
      </c>
      <c r="E2832" s="156" t="str">
        <f>'Reported burning'!E2832</f>
        <v>Fire suppression agent</v>
      </c>
      <c r="F2832" s="156" t="str">
        <f>'Reported burning'!F2832</f>
        <v>ND</v>
      </c>
      <c r="G2832" s="156" t="str">
        <f>'Reported burning'!G2832</f>
        <v>ND</v>
      </c>
      <c r="H2832" s="156" t="str">
        <f>'Reported burning'!H2832</f>
        <v>Presence</v>
      </c>
      <c r="I2832" s="5"/>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188</v>
      </c>
      <c r="Y2832" s="204" t="s">
        <v>189</v>
      </c>
      <c r="Z2832" s="204" t="s">
        <v>64</v>
      </c>
      <c r="AA2832" s="204"/>
      <c r="AB2832" s="204"/>
    </row>
    <row r="2833" spans="1:28" ht="29" customHeight="1">
      <c r="A2833" s="156" t="str">
        <f>'Reported burning'!A2833</f>
        <v>305af</v>
      </c>
      <c r="B2833" s="156" t="str">
        <f>'Reported burning'!B2833</f>
        <v>305af.16</v>
      </c>
      <c r="C2833" s="156" t="str">
        <f>'Reported burning'!C2833</f>
        <v>Human, deliberate</v>
      </c>
      <c r="D2833" s="156" t="str">
        <f>'Reported burning'!D2833</f>
        <v>Pyrome management</v>
      </c>
      <c r="E2833" s="156" t="str">
        <f>'Reported burning'!E2833</f>
        <v>Fire suppression agent</v>
      </c>
      <c r="F2833" s="156" t="str">
        <f>'Reported burning'!F2833</f>
        <v>ND</v>
      </c>
      <c r="G2833" s="156" t="str">
        <f>'Reported burning'!G2833</f>
        <v>ND</v>
      </c>
      <c r="H2833" s="156" t="str">
        <f>'Reported burning'!H2833</f>
        <v>Presence</v>
      </c>
      <c r="I2833" s="5"/>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188</v>
      </c>
      <c r="Y2833" s="204" t="s">
        <v>189</v>
      </c>
      <c r="Z2833" s="204" t="s">
        <v>64</v>
      </c>
      <c r="AA2833" s="204"/>
      <c r="AB2833" s="204"/>
    </row>
    <row r="2834" spans="1:28" ht="29" customHeight="1">
      <c r="A2834" s="156" t="str">
        <f>'Reported burning'!A2834</f>
        <v>305af</v>
      </c>
      <c r="B2834" s="156" t="str">
        <f>'Reported burning'!B2834</f>
        <v>305af.17</v>
      </c>
      <c r="C2834" s="156" t="str">
        <f>'Reported burning'!C2834</f>
        <v>Human, deliberate</v>
      </c>
      <c r="D2834" s="156" t="str">
        <f>'Reported burning'!D2834</f>
        <v>Pyrome management</v>
      </c>
      <c r="E2834" s="156" t="str">
        <f>'Reported burning'!E2834</f>
        <v>Fire suppression agent</v>
      </c>
      <c r="F2834" s="156" t="str">
        <f>'Reported burning'!F2834</f>
        <v>ND</v>
      </c>
      <c r="G2834" s="156" t="str">
        <f>'Reported burning'!G2834</f>
        <v>ND</v>
      </c>
      <c r="H2834" s="156" t="str">
        <f>'Reported burning'!H2834</f>
        <v>Presence</v>
      </c>
      <c r="I2834" s="5"/>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188</v>
      </c>
      <c r="Y2834" s="204" t="s">
        <v>189</v>
      </c>
      <c r="Z2834" s="204" t="s">
        <v>64</v>
      </c>
      <c r="AA2834" s="204"/>
      <c r="AB2834" s="204"/>
    </row>
    <row r="2835" spans="1:28" ht="29" customHeight="1">
      <c r="A2835" s="156" t="str">
        <f>'Reported burning'!A2835</f>
        <v>305af</v>
      </c>
      <c r="B2835" s="156" t="str">
        <f>'Reported burning'!B2835</f>
        <v>305af.18</v>
      </c>
      <c r="C2835" s="156" t="str">
        <f>'Reported burning'!C2835</f>
        <v>Human, deliberate</v>
      </c>
      <c r="D2835" s="156" t="str">
        <f>'Reported burning'!D2835</f>
        <v>Pyrome management</v>
      </c>
      <c r="E2835" s="156" t="str">
        <f>'Reported burning'!E2835</f>
        <v>Fire suppression agent</v>
      </c>
      <c r="F2835" s="156" t="str">
        <f>'Reported burning'!F2835</f>
        <v>ND</v>
      </c>
      <c r="G2835" s="156" t="str">
        <f>'Reported burning'!G2835</f>
        <v>ND</v>
      </c>
      <c r="H2835" s="156" t="str">
        <f>'Reported burning'!H2835</f>
        <v>Presence</v>
      </c>
      <c r="I2835" s="5"/>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188</v>
      </c>
      <c r="Y2835" s="204" t="s">
        <v>189</v>
      </c>
      <c r="Z2835" s="204" t="s">
        <v>64</v>
      </c>
      <c r="AA2835" s="204"/>
      <c r="AB2835" s="204"/>
    </row>
    <row r="2836" spans="1:28" ht="29" customHeight="1">
      <c r="A2836" s="152" t="str">
        <f>'Reported burning'!A2836</f>
        <v>305ag</v>
      </c>
      <c r="B2836" s="152" t="str">
        <f>'Reported burning'!B2836</f>
        <v>305ag.1</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1" t="s">
        <v>2362</v>
      </c>
      <c r="M2836" s="204" t="s">
        <v>2276</v>
      </c>
      <c r="N2836" s="21" t="s">
        <v>2374</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189</v>
      </c>
      <c r="Z2836" s="204" t="s">
        <v>64</v>
      </c>
      <c r="AA2836" s="204"/>
      <c r="AB2836" s="204"/>
    </row>
    <row r="2837" spans="1:28" ht="29" customHeight="1">
      <c r="A2837" s="152" t="str">
        <f>'Reported burning'!A2837</f>
        <v>305af</v>
      </c>
      <c r="B2837" s="152" t="str">
        <f>'Reported burning'!B2837</f>
        <v>305af.19</v>
      </c>
      <c r="C2837" s="152" t="str">
        <f>'Reported burning'!C2837</f>
        <v>Human, deliberate</v>
      </c>
      <c r="D2837" s="152" t="str">
        <f>'Reported burning'!D2837</f>
        <v>Pyrome management</v>
      </c>
      <c r="E2837" s="152" t="str">
        <f>'Reported burning'!E2837</f>
        <v>Fire suppression agent</v>
      </c>
      <c r="F2837" s="152" t="str">
        <f>'Reported burning'!F2837</f>
        <v>Shrubland (Mixed forest &amp; grassland)</v>
      </c>
      <c r="G2837" s="152" t="str">
        <f>'Reported burning'!G2837</f>
        <v>Shrubland (Mixed forest &amp; grassland)</v>
      </c>
      <c r="H2837" s="152" t="str">
        <f>'Reported burning'!H2837</f>
        <v>Presence</v>
      </c>
      <c r="I2837" s="204"/>
      <c r="J2837" s="204" t="s">
        <v>2276</v>
      </c>
      <c r="K2837" s="204" t="s">
        <v>2276</v>
      </c>
      <c r="L2837" s="21" t="s">
        <v>2362</v>
      </c>
      <c r="M2837" s="204" t="s">
        <v>2276</v>
      </c>
      <c r="N2837" s="204" t="s">
        <v>2276</v>
      </c>
      <c r="O2837" s="204" t="s">
        <v>2276</v>
      </c>
      <c r="P2837" s="204" t="s">
        <v>2276</v>
      </c>
      <c r="Q2837" s="204" t="s">
        <v>2276</v>
      </c>
      <c r="R2837" s="21" t="s">
        <v>2375</v>
      </c>
      <c r="S2837" s="204" t="s">
        <v>2276</v>
      </c>
      <c r="T2837" s="204" t="s">
        <v>2276</v>
      </c>
      <c r="U2837" s="204" t="s">
        <v>2276</v>
      </c>
      <c r="V2837" s="204" t="s">
        <v>2276</v>
      </c>
      <c r="W2837" s="204" t="s">
        <v>2276</v>
      </c>
      <c r="X2837" s="204" t="s">
        <v>188</v>
      </c>
      <c r="Y2837" s="204" t="s">
        <v>189</v>
      </c>
      <c r="Z2837" s="204" t="s">
        <v>64</v>
      </c>
      <c r="AA2837" s="19" t="s">
        <v>7630</v>
      </c>
      <c r="AB2837" s="204"/>
    </row>
    <row r="2838" spans="1:28" ht="29" customHeight="1">
      <c r="A2838" s="152" t="str">
        <f>'Reported burning'!A2838</f>
        <v>305af</v>
      </c>
      <c r="B2838" s="152" t="str">
        <f>'Reported burning'!B2838</f>
        <v>305af.20</v>
      </c>
      <c r="C2838" s="152" t="str">
        <f>'Reported burning'!C2838</f>
        <v>Human, deliberate</v>
      </c>
      <c r="D2838" s="152" t="str">
        <f>'Reported burning'!D2838</f>
        <v>Pyrome management</v>
      </c>
      <c r="E2838" s="152" t="str">
        <f>'Reported burning'!E2838</f>
        <v>Fire suppression agent</v>
      </c>
      <c r="F2838" s="152" t="str">
        <f>'Reported burning'!F2838</f>
        <v>Forest</v>
      </c>
      <c r="G2838" s="152" t="str">
        <f>'Reported burning'!G2838</f>
        <v>Forest</v>
      </c>
      <c r="H2838" s="152" t="str">
        <f>'Reported burning'!H2838</f>
        <v>Presence</v>
      </c>
      <c r="I2838" s="204"/>
      <c r="J2838" s="204"/>
      <c r="K2838" s="204"/>
      <c r="L2838" s="21" t="s">
        <v>2362</v>
      </c>
      <c r="M2838" s="204" t="s">
        <v>2276</v>
      </c>
      <c r="N2838" s="204" t="s">
        <v>2276</v>
      </c>
      <c r="O2838" s="204" t="s">
        <v>2276</v>
      </c>
      <c r="P2838" s="204" t="s">
        <v>2276</v>
      </c>
      <c r="Q2838" s="204" t="s">
        <v>2276</v>
      </c>
      <c r="R2838" s="21" t="s">
        <v>2375</v>
      </c>
      <c r="S2838" s="204" t="s">
        <v>2276</v>
      </c>
      <c r="T2838" s="204" t="s">
        <v>2276</v>
      </c>
      <c r="U2838" s="204" t="s">
        <v>2276</v>
      </c>
      <c r="V2838" s="204" t="s">
        <v>2276</v>
      </c>
      <c r="W2838" s="204" t="s">
        <v>2276</v>
      </c>
      <c r="X2838" s="204" t="s">
        <v>188</v>
      </c>
      <c r="Y2838" s="204" t="s">
        <v>189</v>
      </c>
      <c r="Z2838" s="204" t="s">
        <v>64</v>
      </c>
      <c r="AA2838" s="19" t="s">
        <v>7630</v>
      </c>
      <c r="AB2838" s="204"/>
    </row>
    <row r="2839" spans="1:28" ht="29" customHeight="1">
      <c r="A2839" s="152" t="str">
        <f>'Reported burning'!A2839</f>
        <v>305ah</v>
      </c>
      <c r="B2839" s="152" t="str">
        <f>'Reported burning'!B2839</f>
        <v>305ah.1</v>
      </c>
      <c r="C2839" s="152" t="str">
        <f>'Reported burning'!C2839</f>
        <v>Human, deliberate</v>
      </c>
      <c r="D2839" s="152" t="str">
        <f>'Reported burning'!D2839</f>
        <v>Pyrome management</v>
      </c>
      <c r="E2839" s="152" t="str">
        <f>'Reported burning'!E2839</f>
        <v>Fire suppression agent</v>
      </c>
      <c r="F2839" s="152" t="str">
        <f>'Reported burning'!F2839</f>
        <v>Forest</v>
      </c>
      <c r="G2839" s="152" t="str">
        <f>'Reported burning'!G2839</f>
        <v>Forest</v>
      </c>
      <c r="H2839" s="152" t="str">
        <f>'Reported burning'!H2839</f>
        <v>Presence</v>
      </c>
      <c r="I2839" s="204"/>
      <c r="J2839" s="204" t="s">
        <v>2276</v>
      </c>
      <c r="K2839" s="204" t="s">
        <v>2276</v>
      </c>
      <c r="L2839" s="21" t="s">
        <v>2362</v>
      </c>
      <c r="M2839" s="204" t="s">
        <v>2276</v>
      </c>
      <c r="N2839" s="204" t="s">
        <v>2276</v>
      </c>
      <c r="O2839" s="204" t="s">
        <v>2276</v>
      </c>
      <c r="P2839" s="204" t="s">
        <v>2276</v>
      </c>
      <c r="Q2839" s="204" t="s">
        <v>2276</v>
      </c>
      <c r="R2839" s="21" t="s">
        <v>2373</v>
      </c>
      <c r="S2839" s="204" t="s">
        <v>2276</v>
      </c>
      <c r="T2839" s="204" t="s">
        <v>2276</v>
      </c>
      <c r="U2839" s="204" t="s">
        <v>2276</v>
      </c>
      <c r="V2839" s="204" t="s">
        <v>2276</v>
      </c>
      <c r="W2839" s="204" t="s">
        <v>2276</v>
      </c>
      <c r="X2839" s="204" t="s">
        <v>68</v>
      </c>
      <c r="Y2839" s="204" t="s">
        <v>86</v>
      </c>
      <c r="Z2839" s="204" t="s">
        <v>76</v>
      </c>
      <c r="AA2839" s="4" t="s">
        <v>7629</v>
      </c>
      <c r="AB2839" s="204"/>
    </row>
    <row r="2840" spans="1:28" s="203" customFormat="1" ht="29" customHeight="1">
      <c r="A2840" s="152" t="str">
        <f>'Reported burning'!A2840</f>
        <v>305ai</v>
      </c>
      <c r="B2840" s="152" t="str">
        <f>'Reported burning'!B2840</f>
        <v>305ai.1</v>
      </c>
      <c r="C2840" s="152" t="str">
        <f>'Reported burning'!C2840</f>
        <v>Human, deliberate</v>
      </c>
      <c r="D2840" s="152" t="str">
        <f>'Reported burning'!D2840</f>
        <v>Pyrome management</v>
      </c>
      <c r="E2840" s="152" t="str">
        <f>'Reported burning'!E2840</f>
        <v>Fire suppression agent</v>
      </c>
      <c r="F2840" s="152" t="str">
        <f>'Reported burning'!F2840</f>
        <v>Forest</v>
      </c>
      <c r="G2840" s="152" t="str">
        <f>'Reported burning'!G2840</f>
        <v>Forest</v>
      </c>
      <c r="H2840" s="152" t="str">
        <f>'Reported burning'!H2840</f>
        <v>Presence</v>
      </c>
      <c r="I2840" s="204"/>
      <c r="J2840" s="204" t="s">
        <v>2276</v>
      </c>
      <c r="K2840" s="204" t="s">
        <v>2276</v>
      </c>
      <c r="L2840" s="21" t="s">
        <v>2362</v>
      </c>
      <c r="M2840" s="204" t="s">
        <v>2276</v>
      </c>
      <c r="N2840" s="204" t="s">
        <v>2276</v>
      </c>
      <c r="O2840" s="204" t="s">
        <v>2276</v>
      </c>
      <c r="P2840" s="204" t="s">
        <v>2276</v>
      </c>
      <c r="Q2840" s="204" t="s">
        <v>2276</v>
      </c>
      <c r="R2840" s="21" t="s">
        <v>2373</v>
      </c>
      <c r="S2840" s="204" t="s">
        <v>2276</v>
      </c>
      <c r="T2840" s="204" t="s">
        <v>2276</v>
      </c>
      <c r="U2840" s="204" t="s">
        <v>2276</v>
      </c>
      <c r="V2840" s="204" t="s">
        <v>2276</v>
      </c>
      <c r="W2840" s="204" t="s">
        <v>2276</v>
      </c>
      <c r="X2840" s="204" t="s">
        <v>35</v>
      </c>
      <c r="Y2840" s="204" t="s">
        <v>38</v>
      </c>
      <c r="Z2840" s="204" t="s">
        <v>64</v>
      </c>
      <c r="AA2840" s="204" t="s">
        <v>7628</v>
      </c>
      <c r="AB2840" s="204"/>
    </row>
    <row r="2841" spans="1:28" ht="24.5" customHeight="1">
      <c r="A2841" s="152" t="str">
        <f>'Reported burning'!A2841</f>
        <v>305ai</v>
      </c>
      <c r="B2841" s="152" t="str">
        <f>'Reported burning'!B2842</f>
        <v>305ai.2</v>
      </c>
      <c r="C2841" s="152" t="str">
        <f>'Reported burning'!C2841</f>
        <v>Human, deliberate</v>
      </c>
      <c r="D2841" s="152" t="str">
        <f>'Reported burning'!D2841</f>
        <v>Pyrome management</v>
      </c>
      <c r="E2841" s="152" t="str">
        <f>'Reported burning'!E2841</f>
        <v>Fire suppression agent</v>
      </c>
      <c r="F2841" s="152" t="str">
        <f>'Reported burning'!F2841</f>
        <v>Shrubland (Mixed forest &amp; grassland)</v>
      </c>
      <c r="G2841" s="152" t="str">
        <f>'Reported burning'!G2841</f>
        <v>Shrubland (Mixed forest &amp; grassland)</v>
      </c>
      <c r="H2841" s="152" t="str">
        <f>'Reported burning'!H2841</f>
        <v>Presence</v>
      </c>
      <c r="I2841" s="204"/>
      <c r="J2841" s="204" t="s">
        <v>2276</v>
      </c>
      <c r="K2841" s="204" t="s">
        <v>2276</v>
      </c>
      <c r="L2841" s="21" t="s">
        <v>2362</v>
      </c>
      <c r="M2841" s="204" t="s">
        <v>2276</v>
      </c>
      <c r="N2841" s="21" t="s">
        <v>2377</v>
      </c>
      <c r="O2841" s="204" t="s">
        <v>2276</v>
      </c>
      <c r="P2841" s="204" t="s">
        <v>2276</v>
      </c>
      <c r="Q2841" s="204" t="s">
        <v>2276</v>
      </c>
      <c r="R2841" s="21" t="s">
        <v>2375</v>
      </c>
      <c r="S2841" s="204" t="s">
        <v>2276</v>
      </c>
      <c r="T2841" s="204" t="s">
        <v>2276</v>
      </c>
      <c r="U2841" s="204" t="s">
        <v>2276</v>
      </c>
      <c r="V2841" s="204" t="s">
        <v>2276</v>
      </c>
      <c r="W2841" s="204" t="s">
        <v>2276</v>
      </c>
      <c r="X2841" s="204" t="s">
        <v>68</v>
      </c>
      <c r="Y2841" s="204" t="s">
        <v>86</v>
      </c>
      <c r="Z2841" s="204" t="s">
        <v>76</v>
      </c>
      <c r="AA2841" s="4" t="s">
        <v>7629</v>
      </c>
      <c r="AB2841" s="204"/>
    </row>
    <row r="2842" spans="1:28" ht="29" customHeight="1">
      <c r="A2842" s="152" t="str">
        <f>'Reported burning'!A2842</f>
        <v>305ah</v>
      </c>
      <c r="B2842" s="152" t="str">
        <f>'Reported burning'!B2841</f>
        <v>305ah.2</v>
      </c>
      <c r="C2842" s="152" t="str">
        <f>'Reported burning'!C2842</f>
        <v>Human, deliberate</v>
      </c>
      <c r="D2842" s="152" t="str">
        <f>'Reported burning'!D2842</f>
        <v>Pyrome management</v>
      </c>
      <c r="E2842" s="152" t="str">
        <f>'Reported burning'!E2842</f>
        <v>Fire suppression agent</v>
      </c>
      <c r="F2842" s="152" t="str">
        <f>'Reported burning'!F2842</f>
        <v>Shrubland (Mixed forest &amp; grassland)</v>
      </c>
      <c r="G2842" s="152" t="str">
        <f>'Reported burning'!G2842</f>
        <v>Shrubland (Mixed forest &amp; grassland)</v>
      </c>
      <c r="H2842" s="152" t="str">
        <f>'Reported burning'!H2842</f>
        <v>Presence</v>
      </c>
      <c r="I2842" s="204"/>
      <c r="J2842" s="204" t="s">
        <v>2276</v>
      </c>
      <c r="K2842" s="204" t="s">
        <v>2276</v>
      </c>
      <c r="L2842" s="21" t="s">
        <v>2362</v>
      </c>
      <c r="M2842" s="204" t="s">
        <v>2276</v>
      </c>
      <c r="N2842" s="21" t="s">
        <v>2377</v>
      </c>
      <c r="O2842" s="204" t="s">
        <v>2276</v>
      </c>
      <c r="P2842" s="204" t="s">
        <v>2276</v>
      </c>
      <c r="Q2842" s="204" t="s">
        <v>2276</v>
      </c>
      <c r="R2842" s="21" t="s">
        <v>2375</v>
      </c>
      <c r="S2842" s="204" t="s">
        <v>2276</v>
      </c>
      <c r="T2842" s="204" t="s">
        <v>2276</v>
      </c>
      <c r="U2842" s="204" t="s">
        <v>2276</v>
      </c>
      <c r="V2842" s="204" t="s">
        <v>2276</v>
      </c>
      <c r="W2842" s="204" t="s">
        <v>2276</v>
      </c>
      <c r="X2842" s="204" t="s">
        <v>35</v>
      </c>
      <c r="Y2842" s="204" t="s">
        <v>38</v>
      </c>
      <c r="Z2842" s="204" t="s">
        <v>64</v>
      </c>
      <c r="AA2842" s="204" t="s">
        <v>7628</v>
      </c>
      <c r="AB2842" s="204"/>
    </row>
    <row r="2843" spans="1:28" ht="32" customHeight="1">
      <c r="A2843" s="156" t="str">
        <f>'Reported burning'!A2843</f>
        <v>306a</v>
      </c>
      <c r="B2843" s="156" t="str">
        <f>'Reported burning'!B2843</f>
        <v>306a.1</v>
      </c>
      <c r="C2843" s="156" t="str">
        <f>'Reported burning'!C2843</f>
        <v>Human, deliberate</v>
      </c>
      <c r="D2843" s="156" t="str">
        <f>'Reported burning'!D2843</f>
        <v>Pyrome management</v>
      </c>
      <c r="E2843" s="156" t="str">
        <f>'Reported burning'!E2843</f>
        <v>Fire suppression agent</v>
      </c>
      <c r="F2843" s="156" t="str">
        <f>'Reported burning'!F2843</f>
        <v>Shrubland (Mixed forest &amp; grassland)</v>
      </c>
      <c r="G2843" s="156" t="str">
        <f>'Reported burning'!G2843</f>
        <v>Shrubland (Mixed forest &amp; grassland)</v>
      </c>
      <c r="H2843" s="156" t="str">
        <f>'Reported burning'!H2843</f>
        <v>Presence</v>
      </c>
      <c r="I2843" s="5"/>
      <c r="J2843" s="5" t="s">
        <v>2276</v>
      </c>
      <c r="K2843" s="21" t="s">
        <v>2362</v>
      </c>
      <c r="L2843" s="21" t="s">
        <v>2362</v>
      </c>
      <c r="M2843" s="21" t="s">
        <v>2385</v>
      </c>
      <c r="N2843" s="21" t="s">
        <v>2385</v>
      </c>
      <c r="O2843" s="204" t="s">
        <v>2276</v>
      </c>
      <c r="P2843" s="204" t="s">
        <v>2276</v>
      </c>
      <c r="Q2843" s="21" t="s">
        <v>2373</v>
      </c>
      <c r="R2843" s="21" t="s">
        <v>2373</v>
      </c>
      <c r="S2843" s="204" t="s">
        <v>2276</v>
      </c>
      <c r="T2843" s="204" t="s">
        <v>2276</v>
      </c>
      <c r="U2843" s="204" t="s">
        <v>2276</v>
      </c>
      <c r="V2843" s="204" t="s">
        <v>2276</v>
      </c>
      <c r="W2843" s="21" t="s">
        <v>2403</v>
      </c>
      <c r="X2843" s="204" t="s">
        <v>2276</v>
      </c>
      <c r="Y2843" s="204" t="s">
        <v>2276</v>
      </c>
      <c r="Z2843" s="204" t="s">
        <v>2276</v>
      </c>
      <c r="AA2843" s="19" t="s">
        <v>7785</v>
      </c>
      <c r="AB2843" s="4" t="s">
        <v>7784</v>
      </c>
    </row>
    <row r="2844" spans="1:28" ht="32" customHeight="1">
      <c r="A2844" s="156" t="str">
        <f>'Reported burning'!A2844</f>
        <v>306a</v>
      </c>
      <c r="B2844" s="156" t="str">
        <f>'Reported burning'!B2844</f>
        <v>306a.2</v>
      </c>
      <c r="C2844" s="156" t="str">
        <f>'Reported burning'!C2844</f>
        <v>Human, deliberate</v>
      </c>
      <c r="D2844" s="156" t="str">
        <f>'Reported burning'!D2844</f>
        <v>Pyrome management</v>
      </c>
      <c r="E2844" s="156" t="str">
        <f>'Reported burning'!E2844</f>
        <v>Fire suppression agent</v>
      </c>
      <c r="F2844" s="156" t="str">
        <f>'Reported burning'!F2844</f>
        <v>Forest</v>
      </c>
      <c r="G2844" s="156" t="str">
        <f>'Reported burning'!G2844</f>
        <v>Forest</v>
      </c>
      <c r="H2844" s="156" t="str">
        <f>'Reported burning'!H2844</f>
        <v>Presence</v>
      </c>
      <c r="I2844" s="5"/>
      <c r="J2844" s="204" t="s">
        <v>2276</v>
      </c>
      <c r="K2844" s="21" t="s">
        <v>2362</v>
      </c>
      <c r="L2844" s="21" t="s">
        <v>2362</v>
      </c>
      <c r="M2844" s="21" t="s">
        <v>2382</v>
      </c>
      <c r="N2844" s="21" t="s">
        <v>2382</v>
      </c>
      <c r="O2844" s="204" t="s">
        <v>2276</v>
      </c>
      <c r="P2844" s="204" t="s">
        <v>2276</v>
      </c>
      <c r="Q2844" s="21" t="s">
        <v>2373</v>
      </c>
      <c r="R2844" s="21" t="s">
        <v>2373</v>
      </c>
      <c r="S2844" s="204" t="s">
        <v>2276</v>
      </c>
      <c r="T2844" s="204" t="s">
        <v>2276</v>
      </c>
      <c r="U2844" s="204" t="s">
        <v>2276</v>
      </c>
      <c r="V2844" s="204" t="s">
        <v>2276</v>
      </c>
      <c r="W2844" s="21" t="s">
        <v>2403</v>
      </c>
      <c r="X2844" s="204" t="s">
        <v>2276</v>
      </c>
      <c r="Y2844" s="204" t="s">
        <v>2276</v>
      </c>
      <c r="Z2844" s="204" t="s">
        <v>2276</v>
      </c>
      <c r="AA2844" s="19" t="s">
        <v>7785</v>
      </c>
      <c r="AB2844" s="4" t="s">
        <v>7784</v>
      </c>
    </row>
    <row r="2845" spans="1:28" ht="38" customHeight="1">
      <c r="A2845" s="156" t="str">
        <f>'Reported burning'!A2845</f>
        <v>306b</v>
      </c>
      <c r="B2845" s="156" t="str">
        <f>'Reported burning'!B2845</f>
        <v>306b.1</v>
      </c>
      <c r="C2845" s="156" t="str">
        <f>'Reported burning'!C2845</f>
        <v>Human, deliberate</v>
      </c>
      <c r="D2845" s="156" t="str">
        <f>'Reported burning'!D2845</f>
        <v>Pyrome management</v>
      </c>
      <c r="E2845" s="156" t="str">
        <f>'Reported burning'!E2845</f>
        <v>Fire suppression agent</v>
      </c>
      <c r="F2845" s="156" t="str">
        <f>'Reported burning'!F2845</f>
        <v>ND</v>
      </c>
      <c r="G2845" s="156" t="str">
        <f>'Reported burning'!G2845</f>
        <v>ND</v>
      </c>
      <c r="H2845" s="156" t="str">
        <f>'Reported burning'!H2845</f>
        <v>Presence</v>
      </c>
      <c r="I2845" s="5"/>
      <c r="J2845" s="204" t="s">
        <v>2276</v>
      </c>
      <c r="K2845" s="38" t="s">
        <v>2276</v>
      </c>
      <c r="L2845" s="38" t="s">
        <v>2276</v>
      </c>
      <c r="M2845" s="38" t="s">
        <v>2276</v>
      </c>
      <c r="N2845" s="38" t="s">
        <v>2276</v>
      </c>
      <c r="O2845" s="38" t="s">
        <v>2276</v>
      </c>
      <c r="P2845" s="103" t="s">
        <v>2376</v>
      </c>
      <c r="Q2845" s="38" t="s">
        <v>2276</v>
      </c>
      <c r="R2845" s="38" t="s">
        <v>2276</v>
      </c>
      <c r="S2845" s="38" t="s">
        <v>2276</v>
      </c>
      <c r="T2845" s="38" t="s">
        <v>2276</v>
      </c>
      <c r="U2845" s="38" t="s">
        <v>2276</v>
      </c>
      <c r="V2845" s="38" t="s">
        <v>2276</v>
      </c>
      <c r="W2845" s="38" t="s">
        <v>2276</v>
      </c>
      <c r="X2845" s="38" t="s">
        <v>2276</v>
      </c>
      <c r="Y2845" s="38" t="s">
        <v>2276</v>
      </c>
      <c r="Z2845" s="38" t="s">
        <v>2276</v>
      </c>
      <c r="AA2845" s="204"/>
      <c r="AB2845" s="204"/>
    </row>
    <row r="2846" spans="1:28" ht="38" customHeight="1">
      <c r="A2846" s="156" t="str">
        <f>'Reported burning'!A2846</f>
        <v>306c</v>
      </c>
      <c r="B2846" s="156" t="str">
        <f>'Reported burning'!B2846</f>
        <v>306c.1</v>
      </c>
      <c r="C2846" s="156" t="str">
        <f>'Reported burning'!C2846</f>
        <v>Human, deliberate</v>
      </c>
      <c r="D2846" s="156" t="str">
        <f>'Reported burning'!D2846</f>
        <v>Pyrome management</v>
      </c>
      <c r="E2846" s="156" t="str">
        <f>'Reported burning'!E2846</f>
        <v>Fire suppression agent</v>
      </c>
      <c r="F2846" s="156" t="str">
        <f>'Reported burning'!F2846</f>
        <v>ND</v>
      </c>
      <c r="G2846" s="156" t="str">
        <f>'Reported burning'!G2846</f>
        <v>ND</v>
      </c>
      <c r="H2846" s="156" t="str">
        <f>'Reported burning'!H2846</f>
        <v>Presence</v>
      </c>
      <c r="I2846" s="5"/>
      <c r="J2846" s="204" t="s">
        <v>2276</v>
      </c>
      <c r="K2846" s="38" t="s">
        <v>2276</v>
      </c>
      <c r="L2846" s="38" t="s">
        <v>2276</v>
      </c>
      <c r="M2846" s="38" t="s">
        <v>2276</v>
      </c>
      <c r="N2846" s="38" t="s">
        <v>2276</v>
      </c>
      <c r="O2846" s="38" t="s">
        <v>2276</v>
      </c>
      <c r="P2846" s="103" t="s">
        <v>2376</v>
      </c>
      <c r="Q2846" s="38" t="s">
        <v>2276</v>
      </c>
      <c r="R2846" s="38" t="s">
        <v>2276</v>
      </c>
      <c r="S2846" s="38" t="s">
        <v>2276</v>
      </c>
      <c r="T2846" s="38" t="s">
        <v>2276</v>
      </c>
      <c r="U2846" s="38" t="s">
        <v>2276</v>
      </c>
      <c r="V2846" s="38" t="s">
        <v>2276</v>
      </c>
      <c r="W2846" s="38" t="s">
        <v>2276</v>
      </c>
      <c r="X2846" s="38" t="s">
        <v>2276</v>
      </c>
      <c r="Y2846" s="38" t="s">
        <v>2276</v>
      </c>
      <c r="Z2846" s="38" t="s">
        <v>2276</v>
      </c>
      <c r="AA2846" s="204"/>
      <c r="AB2846" s="204"/>
    </row>
    <row r="2847" spans="1:28" ht="31" customHeight="1">
      <c r="A2847" s="156" t="str">
        <f>'Reported burning'!A2847</f>
        <v>306d</v>
      </c>
      <c r="B2847" s="156" t="str">
        <f>'Reported burning'!B2847</f>
        <v>306d.1</v>
      </c>
      <c r="C2847" s="156" t="str">
        <f>'Reported burning'!C2847</f>
        <v>Human, deliberate</v>
      </c>
      <c r="D2847" s="156" t="str">
        <f>'Reported burning'!D2847</f>
        <v>Pyrome management</v>
      </c>
      <c r="E2847" s="156" t="str">
        <f>'Reported burning'!E2847</f>
        <v>Fire suppression agent</v>
      </c>
      <c r="F2847" s="156" t="str">
        <f>'Reported burning'!F2847</f>
        <v>ND</v>
      </c>
      <c r="G2847" s="156" t="str">
        <f>'Reported burning'!G2847</f>
        <v>ND</v>
      </c>
      <c r="H2847" s="156" t="str">
        <f>'Reported burning'!H2847</f>
        <v>Presence</v>
      </c>
      <c r="I2847" s="5"/>
      <c r="J2847" s="204" t="s">
        <v>2276</v>
      </c>
      <c r="K2847" s="38" t="s">
        <v>2276</v>
      </c>
      <c r="L2847" s="38" t="s">
        <v>2276</v>
      </c>
      <c r="M2847" s="38" t="s">
        <v>2276</v>
      </c>
      <c r="N2847" s="38" t="s">
        <v>2276</v>
      </c>
      <c r="O2847" s="38" t="s">
        <v>2276</v>
      </c>
      <c r="P2847" s="103" t="s">
        <v>2376</v>
      </c>
      <c r="Q2847" s="38" t="s">
        <v>2276</v>
      </c>
      <c r="R2847" s="38" t="s">
        <v>2276</v>
      </c>
      <c r="S2847" s="38" t="s">
        <v>2276</v>
      </c>
      <c r="T2847" s="38" t="s">
        <v>2276</v>
      </c>
      <c r="U2847" s="38" t="s">
        <v>2276</v>
      </c>
      <c r="V2847" s="38" t="s">
        <v>2276</v>
      </c>
      <c r="W2847" s="38" t="s">
        <v>2276</v>
      </c>
      <c r="X2847" s="38" t="s">
        <v>2276</v>
      </c>
      <c r="Y2847" s="38" t="s">
        <v>2276</v>
      </c>
      <c r="Z2847" s="38" t="s">
        <v>2276</v>
      </c>
      <c r="AA2847" s="204"/>
      <c r="AB2847" s="204"/>
    </row>
    <row r="2848" spans="1:28" ht="31" customHeight="1">
      <c r="A2848" s="156" t="str">
        <f>'Reported burning'!A2848</f>
        <v>306e</v>
      </c>
      <c r="B2848" s="156" t="str">
        <f>'Reported burning'!B2848</f>
        <v>306e.1</v>
      </c>
      <c r="C2848" s="156" t="str">
        <f>'Reported burning'!C2848</f>
        <v>Human, deliberate</v>
      </c>
      <c r="D2848" s="156" t="str">
        <f>'Reported burning'!D2848</f>
        <v>Pyrome management</v>
      </c>
      <c r="E2848" s="156" t="str">
        <f>'Reported burning'!E2848</f>
        <v>Fire suppression agent</v>
      </c>
      <c r="F2848" s="156" t="str">
        <f>'Reported burning'!F2848</f>
        <v>ND</v>
      </c>
      <c r="G2848" s="156" t="str">
        <f>'Reported burning'!G2848</f>
        <v>ND</v>
      </c>
      <c r="H2848" s="156" t="str">
        <f>'Reported burning'!H2848</f>
        <v>Presence</v>
      </c>
      <c r="I2848" s="5"/>
      <c r="J2848" s="204" t="s">
        <v>2276</v>
      </c>
      <c r="K2848" s="38" t="s">
        <v>2276</v>
      </c>
      <c r="L2848" s="38" t="s">
        <v>2276</v>
      </c>
      <c r="M2848" s="38" t="s">
        <v>2276</v>
      </c>
      <c r="N2848" s="38" t="s">
        <v>2276</v>
      </c>
      <c r="O2848" s="38" t="s">
        <v>2276</v>
      </c>
      <c r="P2848" s="103" t="s">
        <v>2377</v>
      </c>
      <c r="Q2848" s="38" t="s">
        <v>2276</v>
      </c>
      <c r="R2848" s="38" t="s">
        <v>2276</v>
      </c>
      <c r="S2848" s="38" t="s">
        <v>2276</v>
      </c>
      <c r="T2848" s="38" t="s">
        <v>2276</v>
      </c>
      <c r="U2848" s="38" t="s">
        <v>2276</v>
      </c>
      <c r="V2848" s="38" t="s">
        <v>2276</v>
      </c>
      <c r="W2848" s="38" t="s">
        <v>2276</v>
      </c>
      <c r="X2848" s="38" t="s">
        <v>2276</v>
      </c>
      <c r="Y2848" s="38" t="s">
        <v>2276</v>
      </c>
      <c r="Z2848" s="38" t="s">
        <v>2276</v>
      </c>
      <c r="AA2848" s="204"/>
      <c r="AB2848" s="204"/>
    </row>
    <row r="2849" spans="1:28" ht="31" customHeight="1">
      <c r="A2849" s="156" t="str">
        <f>'Reported burning'!A2849</f>
        <v>306f</v>
      </c>
      <c r="B2849" s="156" t="str">
        <f>'Reported burning'!B2849</f>
        <v>306f.1</v>
      </c>
      <c r="C2849" s="156" t="str">
        <f>'Reported burning'!C2849</f>
        <v>Human, deliberate</v>
      </c>
      <c r="D2849" s="156" t="str">
        <f>'Reported burning'!D2849</f>
        <v>Pyrome management</v>
      </c>
      <c r="E2849" s="156" t="str">
        <f>'Reported burning'!E2849</f>
        <v>Fire suppression agent</v>
      </c>
      <c r="F2849" s="156" t="str">
        <f>'Reported burning'!F2849</f>
        <v>ND</v>
      </c>
      <c r="G2849" s="156" t="str">
        <f>'Reported burning'!G2849</f>
        <v>ND</v>
      </c>
      <c r="H2849" s="156" t="str">
        <f>'Reported burning'!H2849</f>
        <v>Presence</v>
      </c>
      <c r="I2849" s="5"/>
      <c r="J2849" s="204" t="s">
        <v>2276</v>
      </c>
      <c r="K2849" s="38" t="s">
        <v>2276</v>
      </c>
      <c r="L2849" s="38" t="s">
        <v>2276</v>
      </c>
      <c r="M2849" s="38" t="s">
        <v>2276</v>
      </c>
      <c r="N2849" s="38" t="s">
        <v>2276</v>
      </c>
      <c r="O2849" s="38" t="s">
        <v>2276</v>
      </c>
      <c r="P2849" s="103" t="s">
        <v>2376</v>
      </c>
      <c r="Q2849" s="38" t="s">
        <v>2276</v>
      </c>
      <c r="R2849" s="38" t="s">
        <v>2276</v>
      </c>
      <c r="S2849" s="38" t="s">
        <v>2276</v>
      </c>
      <c r="T2849" s="38" t="s">
        <v>2276</v>
      </c>
      <c r="U2849" s="38" t="s">
        <v>2276</v>
      </c>
      <c r="V2849" s="38" t="s">
        <v>2276</v>
      </c>
      <c r="W2849" s="38" t="s">
        <v>2276</v>
      </c>
      <c r="X2849" s="38" t="s">
        <v>2276</v>
      </c>
      <c r="Y2849" s="38" t="s">
        <v>2276</v>
      </c>
      <c r="Z2849" s="38" t="s">
        <v>2276</v>
      </c>
      <c r="AA2849" s="204"/>
      <c r="AB2849" s="204"/>
    </row>
    <row r="2850" spans="1:28" ht="31" customHeight="1">
      <c r="A2850" s="156" t="str">
        <f>'Reported burning'!A2850</f>
        <v>306g</v>
      </c>
      <c r="B2850" s="156" t="str">
        <f>'Reported burning'!B2850</f>
        <v>306g.1</v>
      </c>
      <c r="C2850" s="156" t="str">
        <f>'Reported burning'!C2850</f>
        <v>Human, deliberate</v>
      </c>
      <c r="D2850" s="156" t="str">
        <f>'Reported burning'!D2850</f>
        <v>Pyrome management</v>
      </c>
      <c r="E2850" s="156" t="str">
        <f>'Reported burning'!E2850</f>
        <v>Fire suppression agent</v>
      </c>
      <c r="F2850" s="156" t="str">
        <f>'Reported burning'!F2850</f>
        <v>ND</v>
      </c>
      <c r="G2850" s="156" t="str">
        <f>'Reported burning'!G2850</f>
        <v>ND</v>
      </c>
      <c r="H2850" s="156" t="str">
        <f>'Reported burning'!H2850</f>
        <v>Presence</v>
      </c>
      <c r="I2850" s="5"/>
      <c r="J2850" s="204" t="s">
        <v>2276</v>
      </c>
      <c r="K2850" s="38" t="s">
        <v>2276</v>
      </c>
      <c r="L2850" s="38" t="s">
        <v>2276</v>
      </c>
      <c r="M2850" s="38" t="s">
        <v>2276</v>
      </c>
      <c r="N2850" s="38" t="s">
        <v>2276</v>
      </c>
      <c r="O2850" s="38" t="s">
        <v>2276</v>
      </c>
      <c r="P2850" s="103" t="s">
        <v>2376</v>
      </c>
      <c r="Q2850" s="38" t="s">
        <v>2276</v>
      </c>
      <c r="R2850" s="38" t="s">
        <v>2276</v>
      </c>
      <c r="S2850" s="38" t="s">
        <v>2276</v>
      </c>
      <c r="T2850" s="38" t="s">
        <v>2276</v>
      </c>
      <c r="U2850" s="38" t="s">
        <v>2276</v>
      </c>
      <c r="V2850" s="38" t="s">
        <v>2276</v>
      </c>
      <c r="W2850" s="38" t="s">
        <v>2276</v>
      </c>
      <c r="X2850" s="38" t="s">
        <v>2276</v>
      </c>
      <c r="Y2850" s="38" t="s">
        <v>2276</v>
      </c>
      <c r="Z2850" s="38" t="s">
        <v>2276</v>
      </c>
      <c r="AA2850" s="204"/>
      <c r="AB2850" s="204"/>
    </row>
    <row r="2851" spans="1:28" ht="31" customHeight="1">
      <c r="A2851" s="156" t="str">
        <f>'Reported burning'!A2851</f>
        <v>306h</v>
      </c>
      <c r="B2851" s="156" t="str">
        <f>'Reported burning'!B2851</f>
        <v>306h.1</v>
      </c>
      <c r="C2851" s="156" t="str">
        <f>'Reported burning'!C2851</f>
        <v>Human, deliberate</v>
      </c>
      <c r="D2851" s="156" t="str">
        <f>'Reported burning'!D2851</f>
        <v>Pyrome management</v>
      </c>
      <c r="E2851" s="156" t="str">
        <f>'Reported burning'!E2851</f>
        <v>Fire suppression agent</v>
      </c>
      <c r="F2851" s="156" t="str">
        <f>'Reported burning'!F2851</f>
        <v>ND</v>
      </c>
      <c r="G2851" s="156" t="str">
        <f>'Reported burning'!G2851</f>
        <v>ND</v>
      </c>
      <c r="H2851" s="156" t="str">
        <f>'Reported burning'!H2851</f>
        <v>Presence</v>
      </c>
      <c r="I2851" s="5"/>
      <c r="J2851" s="204" t="s">
        <v>2276</v>
      </c>
      <c r="K2851" s="38" t="s">
        <v>2276</v>
      </c>
      <c r="L2851" s="38" t="s">
        <v>2276</v>
      </c>
      <c r="M2851" s="38" t="s">
        <v>2276</v>
      </c>
      <c r="N2851" s="38" t="s">
        <v>2276</v>
      </c>
      <c r="O2851" s="38" t="s">
        <v>2276</v>
      </c>
      <c r="P2851" s="103" t="s">
        <v>2377</v>
      </c>
      <c r="Q2851" s="38" t="s">
        <v>2276</v>
      </c>
      <c r="R2851" s="38" t="s">
        <v>2276</v>
      </c>
      <c r="S2851" s="38" t="s">
        <v>2276</v>
      </c>
      <c r="T2851" s="38" t="s">
        <v>2276</v>
      </c>
      <c r="U2851" s="38" t="s">
        <v>2276</v>
      </c>
      <c r="V2851" s="38" t="s">
        <v>2276</v>
      </c>
      <c r="W2851" s="38" t="s">
        <v>2276</v>
      </c>
      <c r="X2851" s="38" t="s">
        <v>2276</v>
      </c>
      <c r="Y2851" s="38" t="s">
        <v>2276</v>
      </c>
      <c r="Z2851" s="38" t="s">
        <v>2276</v>
      </c>
      <c r="AA2851" s="204"/>
      <c r="AB2851" s="204"/>
    </row>
    <row r="2852" spans="1:28" ht="31" customHeight="1">
      <c r="A2852" s="156" t="str">
        <f>'Reported burning'!A2852</f>
        <v>306i</v>
      </c>
      <c r="B2852" s="156" t="str">
        <f>'Reported burning'!B2852</f>
        <v>306i.1</v>
      </c>
      <c r="C2852" s="156" t="str">
        <f>'Reported burning'!C2852</f>
        <v>Human, deliberate</v>
      </c>
      <c r="D2852" s="156" t="str">
        <f>'Reported burning'!D2852</f>
        <v>Pyrome management</v>
      </c>
      <c r="E2852" s="156" t="str">
        <f>'Reported burning'!E2852</f>
        <v>Fire suppression agent</v>
      </c>
      <c r="F2852" s="156" t="str">
        <f>'Reported burning'!F2852</f>
        <v>ND</v>
      </c>
      <c r="G2852" s="156" t="str">
        <f>'Reported burning'!G2852</f>
        <v>ND</v>
      </c>
      <c r="H2852" s="156" t="str">
        <f>'Reported burning'!H2852</f>
        <v>Presence</v>
      </c>
      <c r="I2852" s="5"/>
      <c r="J2852" s="204" t="s">
        <v>2276</v>
      </c>
      <c r="K2852" s="38" t="s">
        <v>2276</v>
      </c>
      <c r="L2852" s="38" t="s">
        <v>2276</v>
      </c>
      <c r="M2852" s="38" t="s">
        <v>2276</v>
      </c>
      <c r="N2852" s="38" t="s">
        <v>2276</v>
      </c>
      <c r="O2852" s="38" t="s">
        <v>2276</v>
      </c>
      <c r="P2852" s="103" t="s">
        <v>2376</v>
      </c>
      <c r="Q2852" s="38" t="s">
        <v>2276</v>
      </c>
      <c r="R2852" s="38" t="s">
        <v>2276</v>
      </c>
      <c r="S2852" s="38" t="s">
        <v>2276</v>
      </c>
      <c r="T2852" s="38" t="s">
        <v>2276</v>
      </c>
      <c r="U2852" s="38" t="s">
        <v>2276</v>
      </c>
      <c r="V2852" s="38" t="s">
        <v>2276</v>
      </c>
      <c r="W2852" s="38" t="s">
        <v>2276</v>
      </c>
      <c r="X2852" s="38" t="s">
        <v>2276</v>
      </c>
      <c r="Y2852" s="38" t="s">
        <v>2276</v>
      </c>
      <c r="Z2852" s="38" t="s">
        <v>2276</v>
      </c>
      <c r="AA2852" s="204"/>
      <c r="AB2852" s="204"/>
    </row>
    <row r="2853" spans="1:28" ht="31" customHeight="1">
      <c r="A2853" s="156" t="str">
        <f>'Reported burning'!A2853</f>
        <v>306j</v>
      </c>
      <c r="B2853" s="156" t="str">
        <f>'Reported burning'!B2853</f>
        <v>306j.1</v>
      </c>
      <c r="C2853" s="156" t="str">
        <f>'Reported burning'!C2853</f>
        <v>Human, deliberate</v>
      </c>
      <c r="D2853" s="156" t="str">
        <f>'Reported burning'!D2853</f>
        <v>Pyrome management</v>
      </c>
      <c r="E2853" s="156" t="str">
        <f>'Reported burning'!E2853</f>
        <v>Fire suppression agent</v>
      </c>
      <c r="F2853" s="156" t="str">
        <f>'Reported burning'!F2853</f>
        <v>ND</v>
      </c>
      <c r="G2853" s="156" t="str">
        <f>'Reported burning'!G2853</f>
        <v>ND</v>
      </c>
      <c r="H2853" s="156" t="str">
        <f>'Reported burning'!H2853</f>
        <v>Presence</v>
      </c>
      <c r="I2853" s="5"/>
      <c r="J2853" s="204" t="s">
        <v>2276</v>
      </c>
      <c r="K2853" s="38" t="s">
        <v>2276</v>
      </c>
      <c r="L2853" s="38" t="s">
        <v>2276</v>
      </c>
      <c r="M2853" s="38" t="s">
        <v>2276</v>
      </c>
      <c r="N2853" s="38" t="s">
        <v>2276</v>
      </c>
      <c r="O2853" s="38" t="s">
        <v>2276</v>
      </c>
      <c r="P2853" s="103" t="s">
        <v>2377</v>
      </c>
      <c r="Q2853" s="38" t="s">
        <v>2276</v>
      </c>
      <c r="R2853" s="38" t="s">
        <v>2276</v>
      </c>
      <c r="S2853" s="38" t="s">
        <v>2276</v>
      </c>
      <c r="T2853" s="38" t="s">
        <v>2276</v>
      </c>
      <c r="U2853" s="38" t="s">
        <v>2276</v>
      </c>
      <c r="V2853" s="38" t="s">
        <v>2276</v>
      </c>
      <c r="W2853" s="38" t="s">
        <v>2276</v>
      </c>
      <c r="X2853" s="38" t="s">
        <v>2276</v>
      </c>
      <c r="Y2853" s="38" t="s">
        <v>2276</v>
      </c>
      <c r="Z2853" s="38" t="s">
        <v>2276</v>
      </c>
      <c r="AA2853" s="204"/>
      <c r="AB2853" s="204"/>
    </row>
    <row r="2854" spans="1:28" ht="31" customHeight="1">
      <c r="A2854" s="156" t="str">
        <f>'Reported burning'!A2854</f>
        <v>306k</v>
      </c>
      <c r="B2854" s="156" t="str">
        <f>'Reported burning'!B2854</f>
        <v>306k.1</v>
      </c>
      <c r="C2854" s="156" t="str">
        <f>'Reported burning'!C2854</f>
        <v>Human, deliberate</v>
      </c>
      <c r="D2854" s="156" t="str">
        <f>'Reported burning'!D2854</f>
        <v>Pyrome management</v>
      </c>
      <c r="E2854" s="156" t="str">
        <f>'Reported burning'!E2854</f>
        <v>Fire suppression agent</v>
      </c>
      <c r="F2854" s="156" t="str">
        <f>'Reported burning'!F2854</f>
        <v>ND</v>
      </c>
      <c r="G2854" s="156" t="str">
        <f>'Reported burning'!G2854</f>
        <v>ND</v>
      </c>
      <c r="H2854" s="156" t="str">
        <f>'Reported burning'!H2854</f>
        <v>Presence</v>
      </c>
      <c r="I2854" s="5"/>
      <c r="J2854" s="204" t="s">
        <v>2276</v>
      </c>
      <c r="K2854" s="38" t="s">
        <v>2276</v>
      </c>
      <c r="L2854" s="38" t="s">
        <v>2276</v>
      </c>
      <c r="M2854" s="38" t="s">
        <v>2276</v>
      </c>
      <c r="N2854" s="38" t="s">
        <v>2276</v>
      </c>
      <c r="O2854" s="38" t="s">
        <v>2276</v>
      </c>
      <c r="P2854" s="103" t="s">
        <v>2377</v>
      </c>
      <c r="Q2854" s="38" t="s">
        <v>2276</v>
      </c>
      <c r="R2854" s="38" t="s">
        <v>2276</v>
      </c>
      <c r="S2854" s="38" t="s">
        <v>2276</v>
      </c>
      <c r="T2854" s="38" t="s">
        <v>2276</v>
      </c>
      <c r="U2854" s="38" t="s">
        <v>2276</v>
      </c>
      <c r="V2854" s="38" t="s">
        <v>2276</v>
      </c>
      <c r="W2854" s="38" t="s">
        <v>2276</v>
      </c>
      <c r="X2854" s="38" t="s">
        <v>2276</v>
      </c>
      <c r="Y2854" s="38" t="s">
        <v>2276</v>
      </c>
      <c r="Z2854" s="38" t="s">
        <v>2276</v>
      </c>
      <c r="AA2854" s="204"/>
      <c r="AB2854" s="204"/>
    </row>
    <row r="2855" spans="1:28" ht="31" customHeight="1">
      <c r="A2855" s="156" t="str">
        <f>'Reported burning'!A2855</f>
        <v>306l</v>
      </c>
      <c r="B2855" s="156" t="str">
        <f>'Reported burning'!B2855</f>
        <v>306l.1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38" t="s">
        <v>2276</v>
      </c>
      <c r="L2855" s="38" t="s">
        <v>2276</v>
      </c>
      <c r="M2855" s="38" t="s">
        <v>2276</v>
      </c>
      <c r="N2855" s="38" t="s">
        <v>2276</v>
      </c>
      <c r="O2855" s="38" t="s">
        <v>2276</v>
      </c>
      <c r="P2855" s="103" t="s">
        <v>2380</v>
      </c>
      <c r="Q2855" s="38" t="s">
        <v>2276</v>
      </c>
      <c r="R2855" s="38" t="s">
        <v>2276</v>
      </c>
      <c r="S2855" s="38" t="s">
        <v>2276</v>
      </c>
      <c r="T2855" s="38" t="s">
        <v>2276</v>
      </c>
      <c r="U2855" s="38" t="s">
        <v>2276</v>
      </c>
      <c r="V2855" s="38" t="s">
        <v>2276</v>
      </c>
      <c r="W2855" s="38" t="s">
        <v>2276</v>
      </c>
      <c r="X2855" s="38" t="s">
        <v>2276</v>
      </c>
      <c r="Y2855" s="38" t="s">
        <v>2276</v>
      </c>
      <c r="Z2855" s="38" t="s">
        <v>2276</v>
      </c>
      <c r="AA2855" s="204"/>
      <c r="AB2855" s="204"/>
    </row>
    <row r="2856" spans="1:28" ht="31" customHeight="1">
      <c r="A2856" s="185" t="str">
        <f>'Reported burning'!A2856</f>
        <v>306m</v>
      </c>
      <c r="B2856" s="185" t="str">
        <f>'Reported burning'!B2856</f>
        <v>306m.1</v>
      </c>
      <c r="C2856" s="185" t="str">
        <f>'Reported burning'!C2856</f>
        <v>Human, deliberate</v>
      </c>
      <c r="D2856" s="185" t="str">
        <f>'Reported burning'!D2856</f>
        <v>Pyrome management</v>
      </c>
      <c r="E2856" s="185" t="str">
        <f>'Reported burning'!E2856</f>
        <v>Fire suppression agent</v>
      </c>
      <c r="F2856" s="185" t="str">
        <f>'Reported burning'!F2856</f>
        <v>ND</v>
      </c>
      <c r="G2856" s="185" t="str">
        <f>'Reported burning'!G2856</f>
        <v>ND</v>
      </c>
      <c r="H2856" s="185" t="str">
        <f>'Reported burning'!H2856</f>
        <v>Presence</v>
      </c>
      <c r="I2856" s="32"/>
      <c r="J2856" s="38" t="s">
        <v>2276</v>
      </c>
      <c r="K2856" s="38" t="s">
        <v>2276</v>
      </c>
      <c r="L2856" s="38" t="s">
        <v>2276</v>
      </c>
      <c r="M2856" s="38" t="s">
        <v>2276</v>
      </c>
      <c r="N2856" s="38" t="s">
        <v>2276</v>
      </c>
      <c r="O2856" s="38" t="s">
        <v>2276</v>
      </c>
      <c r="P2856" s="103" t="s">
        <v>2376</v>
      </c>
      <c r="Q2856" s="38" t="s">
        <v>2276</v>
      </c>
      <c r="R2856" s="38" t="s">
        <v>2276</v>
      </c>
      <c r="S2856" s="38" t="s">
        <v>2276</v>
      </c>
      <c r="T2856" s="38" t="s">
        <v>2276</v>
      </c>
      <c r="U2856" s="38" t="s">
        <v>2276</v>
      </c>
      <c r="V2856" s="38" t="s">
        <v>2276</v>
      </c>
      <c r="W2856" s="38" t="s">
        <v>2276</v>
      </c>
      <c r="X2856" s="38" t="s">
        <v>2276</v>
      </c>
      <c r="Y2856" s="38" t="s">
        <v>2276</v>
      </c>
      <c r="Z2856" s="38" t="s">
        <v>2276</v>
      </c>
      <c r="AA2856" s="38"/>
      <c r="AB2856" s="38"/>
    </row>
    <row r="2857" spans="1:28" ht="31" customHeight="1">
      <c r="A2857" s="152" t="str">
        <f>'Reported burning'!A2857</f>
        <v>306n</v>
      </c>
      <c r="B2857" s="152" t="str">
        <f>'Reported burning'!B2857</f>
        <v>306n.1</v>
      </c>
      <c r="C2857" s="152" t="str">
        <f>'Reported burning'!C2857</f>
        <v>Human, deliberate</v>
      </c>
      <c r="D2857" s="152" t="str">
        <f>'Reported burning'!D2857</f>
        <v>Pyrome management</v>
      </c>
      <c r="E2857" s="152" t="str">
        <f>'Reported burning'!E2857</f>
        <v>Fire suppression agent</v>
      </c>
      <c r="F2857" s="152" t="str">
        <f>'Reported burning'!F2857</f>
        <v>ND</v>
      </c>
      <c r="G2857" s="152" t="str">
        <f>'Reported burning'!G2857</f>
        <v>ND</v>
      </c>
      <c r="H2857" s="152" t="str">
        <f>'Reported burning'!H2857</f>
        <v>Presence</v>
      </c>
      <c r="I2857" s="204"/>
      <c r="J2857" s="38" t="s">
        <v>2276</v>
      </c>
      <c r="K2857" s="38" t="s">
        <v>2276</v>
      </c>
      <c r="L2857" s="38" t="s">
        <v>2276</v>
      </c>
      <c r="M2857" s="38" t="s">
        <v>2276</v>
      </c>
      <c r="N2857" s="38" t="s">
        <v>2276</v>
      </c>
      <c r="O2857" s="38" t="s">
        <v>2276</v>
      </c>
      <c r="P2857" s="103" t="s">
        <v>2381</v>
      </c>
      <c r="Q2857" s="38" t="s">
        <v>2276</v>
      </c>
      <c r="R2857" s="38" t="s">
        <v>2276</v>
      </c>
      <c r="S2857" s="38" t="s">
        <v>2276</v>
      </c>
      <c r="T2857" s="38" t="s">
        <v>2276</v>
      </c>
      <c r="U2857" s="38" t="s">
        <v>2276</v>
      </c>
      <c r="V2857" s="38" t="s">
        <v>2276</v>
      </c>
      <c r="W2857" s="38" t="s">
        <v>2276</v>
      </c>
      <c r="X2857" s="38" t="s">
        <v>2276</v>
      </c>
      <c r="Y2857" s="38" t="s">
        <v>2276</v>
      </c>
      <c r="Z2857" s="38" t="s">
        <v>2276</v>
      </c>
      <c r="AA2857" s="204"/>
      <c r="AB2857" s="204"/>
    </row>
    <row r="2858" spans="1:28" ht="31" customHeight="1">
      <c r="A2858" s="152" t="str">
        <f>'Reported burning'!A2858</f>
        <v>306o</v>
      </c>
      <c r="B2858" s="152" t="str">
        <f>'Reported burning'!B2858</f>
        <v>306o.1</v>
      </c>
      <c r="C2858" s="152" t="str">
        <f>'Reported burning'!C2858</f>
        <v>Human, deliberate</v>
      </c>
      <c r="D2858" s="152" t="str">
        <f>'Reported burning'!D2858</f>
        <v>Pyrome management</v>
      </c>
      <c r="E2858" s="152" t="str">
        <f>'Reported burning'!E2858</f>
        <v>Fire suppression agent</v>
      </c>
      <c r="F2858" s="152" t="str">
        <f>'Reported burning'!F2858</f>
        <v>ND</v>
      </c>
      <c r="G2858" s="152" t="str">
        <f>'Reported burning'!G2858</f>
        <v>ND</v>
      </c>
      <c r="H2858" s="152" t="str">
        <f>'Reported burning'!H2858</f>
        <v>Presence</v>
      </c>
      <c r="I2858" s="204"/>
      <c r="J2858" s="38" t="s">
        <v>2276</v>
      </c>
      <c r="K2858" s="38" t="s">
        <v>2276</v>
      </c>
      <c r="L2858" s="38" t="s">
        <v>2276</v>
      </c>
      <c r="M2858" s="38" t="s">
        <v>2276</v>
      </c>
      <c r="N2858" s="38" t="s">
        <v>2276</v>
      </c>
      <c r="O2858" s="38" t="s">
        <v>2276</v>
      </c>
      <c r="P2858" s="103" t="s">
        <v>2378</v>
      </c>
      <c r="Q2858" s="38" t="s">
        <v>2276</v>
      </c>
      <c r="R2858" s="38" t="s">
        <v>2276</v>
      </c>
      <c r="S2858" s="38" t="s">
        <v>2276</v>
      </c>
      <c r="T2858" s="38" t="s">
        <v>2276</v>
      </c>
      <c r="U2858" s="38" t="s">
        <v>2276</v>
      </c>
      <c r="V2858" s="38" t="s">
        <v>2276</v>
      </c>
      <c r="W2858" s="38" t="s">
        <v>2276</v>
      </c>
      <c r="X2858" s="38" t="s">
        <v>2276</v>
      </c>
      <c r="Y2858" s="38" t="s">
        <v>2276</v>
      </c>
      <c r="Z2858" s="38" t="s">
        <v>2276</v>
      </c>
      <c r="AA2858" s="204"/>
      <c r="AB2858" s="204"/>
    </row>
    <row r="2859" spans="1:28" ht="31" customHeight="1">
      <c r="A2859" s="152" t="str">
        <f>'Reported burning'!A2859</f>
        <v>306p</v>
      </c>
      <c r="B2859" s="152" t="str">
        <f>'Reported burning'!B2859</f>
        <v>306p.1</v>
      </c>
      <c r="C2859" s="152" t="str">
        <f>'Reported burning'!C2859</f>
        <v>Human, deliberate</v>
      </c>
      <c r="D2859" s="152" t="str">
        <f>'Reported burning'!D2859</f>
        <v>Pyrome management</v>
      </c>
      <c r="E2859" s="152" t="str">
        <f>'Reported burning'!E2859</f>
        <v>Fire suppression agent</v>
      </c>
      <c r="F2859" s="152" t="str">
        <f>'Reported burning'!F2859</f>
        <v>ND</v>
      </c>
      <c r="G2859" s="152" t="str">
        <f>'Reported burning'!G2859</f>
        <v>ND</v>
      </c>
      <c r="H2859" s="152" t="str">
        <f>'Reported burning'!H2859</f>
        <v>Presence</v>
      </c>
      <c r="I2859" s="204"/>
      <c r="J2859" s="38" t="s">
        <v>2276</v>
      </c>
      <c r="K2859" s="38" t="s">
        <v>2276</v>
      </c>
      <c r="L2859" s="38" t="s">
        <v>2276</v>
      </c>
      <c r="M2859" s="38" t="s">
        <v>2276</v>
      </c>
      <c r="N2859" s="38" t="s">
        <v>2276</v>
      </c>
      <c r="O2859" s="38" t="s">
        <v>2276</v>
      </c>
      <c r="P2859" s="103" t="s">
        <v>2378</v>
      </c>
      <c r="Q2859" s="38" t="s">
        <v>2276</v>
      </c>
      <c r="R2859" s="38" t="s">
        <v>2276</v>
      </c>
      <c r="S2859" s="38" t="s">
        <v>2276</v>
      </c>
      <c r="T2859" s="38" t="s">
        <v>2276</v>
      </c>
      <c r="U2859" s="38" t="s">
        <v>2276</v>
      </c>
      <c r="V2859" s="38" t="s">
        <v>2276</v>
      </c>
      <c r="W2859" s="38" t="s">
        <v>2276</v>
      </c>
      <c r="X2859" s="38" t="s">
        <v>2276</v>
      </c>
      <c r="Y2859" s="38" t="s">
        <v>2276</v>
      </c>
      <c r="Z2859" s="38" t="s">
        <v>2276</v>
      </c>
      <c r="AA2859" s="204"/>
      <c r="AB2859" s="204"/>
    </row>
    <row r="2860" spans="1:28" ht="31" customHeight="1">
      <c r="A2860" s="152" t="str">
        <f>'Reported burning'!A2860</f>
        <v>306q</v>
      </c>
      <c r="B2860" s="152" t="str">
        <f>'Reported burning'!B2860</f>
        <v>306q.1</v>
      </c>
      <c r="C2860" s="152" t="str">
        <f>'Reported burning'!C2860</f>
        <v>Human, deliberate</v>
      </c>
      <c r="D2860" s="152" t="str">
        <f>'Reported burning'!D2860</f>
        <v>Pyrome management</v>
      </c>
      <c r="E2860" s="152" t="str">
        <f>'Reported burning'!E2860</f>
        <v>Fire suppression agent</v>
      </c>
      <c r="F2860" s="152" t="str">
        <f>'Reported burning'!F2860</f>
        <v>ND</v>
      </c>
      <c r="G2860" s="152" t="str">
        <f>'Reported burning'!G2860</f>
        <v>ND</v>
      </c>
      <c r="H2860" s="152" t="str">
        <f>'Reported burning'!H2860</f>
        <v>Presence</v>
      </c>
      <c r="I2860" s="204"/>
      <c r="J2860" s="38" t="s">
        <v>2276</v>
      </c>
      <c r="K2860" s="38" t="s">
        <v>2276</v>
      </c>
      <c r="L2860" s="38" t="s">
        <v>2276</v>
      </c>
      <c r="M2860" s="38" t="s">
        <v>2276</v>
      </c>
      <c r="N2860" s="38" t="s">
        <v>2276</v>
      </c>
      <c r="O2860" s="38" t="s">
        <v>2276</v>
      </c>
      <c r="P2860" s="103" t="s">
        <v>2379</v>
      </c>
      <c r="Q2860" s="38" t="s">
        <v>2276</v>
      </c>
      <c r="R2860" s="38" t="s">
        <v>2276</v>
      </c>
      <c r="S2860" s="38" t="s">
        <v>2276</v>
      </c>
      <c r="T2860" s="38" t="s">
        <v>2276</v>
      </c>
      <c r="U2860" s="38" t="s">
        <v>2276</v>
      </c>
      <c r="V2860" s="38" t="s">
        <v>2276</v>
      </c>
      <c r="W2860" s="38" t="s">
        <v>2276</v>
      </c>
      <c r="X2860" s="38" t="s">
        <v>2276</v>
      </c>
      <c r="Y2860" s="38" t="s">
        <v>2276</v>
      </c>
      <c r="Z2860" s="38" t="s">
        <v>2276</v>
      </c>
      <c r="AA2860" s="204"/>
      <c r="AB2860" s="204"/>
    </row>
    <row r="2861" spans="1:28" ht="31" customHeight="1">
      <c r="A2861" s="152" t="str">
        <f>'Reported burning'!A2861</f>
        <v>306r</v>
      </c>
      <c r="B2861" s="152" t="str">
        <f>'Reported burning'!B2861</f>
        <v>306r.1</v>
      </c>
      <c r="C2861" s="152" t="str">
        <f>'Reported burning'!C2861</f>
        <v>Human, deliberate</v>
      </c>
      <c r="D2861" s="152" t="str">
        <f>'Reported burning'!D2861</f>
        <v>Pyrome management</v>
      </c>
      <c r="E2861" s="152" t="str">
        <f>'Reported burning'!E2861</f>
        <v>Fire suppression agent</v>
      </c>
      <c r="F2861" s="152" t="str">
        <f>'Reported burning'!F2861</f>
        <v>ND</v>
      </c>
      <c r="G2861" s="152" t="str">
        <f>'Reported burning'!G2861</f>
        <v>ND</v>
      </c>
      <c r="H2861" s="152" t="str">
        <f>'Reported burning'!H2861</f>
        <v>Presence</v>
      </c>
      <c r="I2861" s="204"/>
      <c r="J2861" s="38" t="s">
        <v>2276</v>
      </c>
      <c r="K2861" s="38" t="s">
        <v>2276</v>
      </c>
      <c r="L2861" s="38" t="s">
        <v>2276</v>
      </c>
      <c r="M2861" s="38" t="s">
        <v>2276</v>
      </c>
      <c r="N2861" s="38" t="s">
        <v>2276</v>
      </c>
      <c r="O2861" s="38" t="s">
        <v>2276</v>
      </c>
      <c r="P2861" s="103" t="s">
        <v>2380</v>
      </c>
      <c r="Q2861" s="38" t="s">
        <v>2276</v>
      </c>
      <c r="R2861" s="38" t="s">
        <v>2276</v>
      </c>
      <c r="S2861" s="38" t="s">
        <v>2276</v>
      </c>
      <c r="T2861" s="38" t="s">
        <v>2276</v>
      </c>
      <c r="U2861" s="38" t="s">
        <v>2276</v>
      </c>
      <c r="V2861" s="38" t="s">
        <v>2276</v>
      </c>
      <c r="W2861" s="38" t="s">
        <v>2276</v>
      </c>
      <c r="X2861" s="38" t="s">
        <v>2276</v>
      </c>
      <c r="Y2861" s="38" t="s">
        <v>2276</v>
      </c>
      <c r="Z2861" s="38" t="s">
        <v>2276</v>
      </c>
      <c r="AA2861" s="204"/>
      <c r="AB2861" s="204"/>
    </row>
    <row r="2862" spans="1:28" ht="31" customHeight="1">
      <c r="A2862" s="152" t="str">
        <f>'Reported burning'!A2862</f>
        <v>306s</v>
      </c>
      <c r="B2862" s="152" t="str">
        <f>'Reported burning'!B2862</f>
        <v>306s.1</v>
      </c>
      <c r="C2862" s="152" t="str">
        <f>'Reported burning'!C2862</f>
        <v>Human, deliberate</v>
      </c>
      <c r="D2862" s="152" t="str">
        <f>'Reported burning'!D2862</f>
        <v>Pyrome management</v>
      </c>
      <c r="E2862" s="152" t="str">
        <f>'Reported burning'!E2862</f>
        <v>Fire suppression agent</v>
      </c>
      <c r="F2862" s="152" t="str">
        <f>'Reported burning'!F2862</f>
        <v>ND</v>
      </c>
      <c r="G2862" s="152" t="str">
        <f>'Reported burning'!G2862</f>
        <v>ND</v>
      </c>
      <c r="H2862" s="152" t="str">
        <f>'Reported burning'!H2862</f>
        <v>Presence</v>
      </c>
      <c r="I2862" s="204"/>
      <c r="J2862" s="38" t="s">
        <v>2276</v>
      </c>
      <c r="K2862" s="38" t="s">
        <v>2276</v>
      </c>
      <c r="L2862" s="38" t="s">
        <v>2276</v>
      </c>
      <c r="M2862" s="38" t="s">
        <v>2276</v>
      </c>
      <c r="N2862" s="38" t="s">
        <v>2276</v>
      </c>
      <c r="O2862" s="38" t="s">
        <v>2276</v>
      </c>
      <c r="P2862" s="103" t="s">
        <v>2377</v>
      </c>
      <c r="Q2862" s="38" t="s">
        <v>2276</v>
      </c>
      <c r="R2862" s="38" t="s">
        <v>2276</v>
      </c>
      <c r="S2862" s="38" t="s">
        <v>2276</v>
      </c>
      <c r="T2862" s="38" t="s">
        <v>2276</v>
      </c>
      <c r="U2862" s="38" t="s">
        <v>2276</v>
      </c>
      <c r="V2862" s="38" t="s">
        <v>2276</v>
      </c>
      <c r="W2862" s="38" t="s">
        <v>2276</v>
      </c>
      <c r="X2862" s="38" t="s">
        <v>2276</v>
      </c>
      <c r="Y2862" s="38" t="s">
        <v>2276</v>
      </c>
      <c r="Z2862" s="38" t="s">
        <v>2276</v>
      </c>
      <c r="AA2862" s="204"/>
      <c r="AB2862" s="204"/>
    </row>
    <row r="2863" spans="1:28" ht="31" customHeight="1">
      <c r="A2863" s="152" t="str">
        <f>'Reported burning'!A2863</f>
        <v>306t</v>
      </c>
      <c r="B2863" s="152" t="str">
        <f>'Reported burning'!B2863</f>
        <v>306t.1</v>
      </c>
      <c r="C2863" s="152" t="str">
        <f>'Reported burning'!C2863</f>
        <v>Human, deliberate</v>
      </c>
      <c r="D2863" s="152" t="str">
        <f>'Reported burning'!D2863</f>
        <v>Pyrome management</v>
      </c>
      <c r="E2863" s="152" t="str">
        <f>'Reported burning'!E2863</f>
        <v>Fire suppression agent</v>
      </c>
      <c r="F2863" s="152" t="str">
        <f>'Reported burning'!F2863</f>
        <v>ND</v>
      </c>
      <c r="G2863" s="152" t="str">
        <f>'Reported burning'!G2863</f>
        <v>ND</v>
      </c>
      <c r="H2863" s="152" t="str">
        <f>'Reported burning'!H2863</f>
        <v>Presence</v>
      </c>
      <c r="I2863" s="204"/>
      <c r="J2863" s="38" t="s">
        <v>2276</v>
      </c>
      <c r="K2863" s="38" t="s">
        <v>2276</v>
      </c>
      <c r="L2863" s="38" t="s">
        <v>2276</v>
      </c>
      <c r="M2863" s="38" t="s">
        <v>2276</v>
      </c>
      <c r="N2863" s="38" t="s">
        <v>2276</v>
      </c>
      <c r="O2863" s="38" t="s">
        <v>2276</v>
      </c>
      <c r="P2863" s="103" t="s">
        <v>2378</v>
      </c>
      <c r="Q2863" s="38" t="s">
        <v>2276</v>
      </c>
      <c r="R2863" s="38" t="s">
        <v>2276</v>
      </c>
      <c r="S2863" s="38" t="s">
        <v>2276</v>
      </c>
      <c r="T2863" s="38" t="s">
        <v>2276</v>
      </c>
      <c r="U2863" s="38" t="s">
        <v>2276</v>
      </c>
      <c r="V2863" s="38" t="s">
        <v>2276</v>
      </c>
      <c r="W2863" s="38" t="s">
        <v>2276</v>
      </c>
      <c r="X2863" s="38" t="s">
        <v>2276</v>
      </c>
      <c r="Y2863" s="38" t="s">
        <v>2276</v>
      </c>
      <c r="Z2863" s="38" t="s">
        <v>2276</v>
      </c>
      <c r="AA2863" s="204"/>
      <c r="AB2863" s="204"/>
    </row>
    <row r="2864" spans="1:28" ht="31" customHeight="1">
      <c r="A2864" s="152" t="str">
        <f>'Reported burning'!A2864</f>
        <v>306u</v>
      </c>
      <c r="B2864" s="152" t="str">
        <f>'Reported burning'!B2864</f>
        <v>306u.1</v>
      </c>
      <c r="C2864" s="152" t="str">
        <f>'Reported burning'!C2864</f>
        <v>Human, deliberate</v>
      </c>
      <c r="D2864" s="152" t="str">
        <f>'Reported burning'!D2864</f>
        <v>Pyrome management</v>
      </c>
      <c r="E2864" s="152" t="str">
        <f>'Reported burning'!E2864</f>
        <v>Fire suppression agent</v>
      </c>
      <c r="F2864" s="152" t="str">
        <f>'Reported burning'!F2864</f>
        <v>ND</v>
      </c>
      <c r="G2864" s="152" t="str">
        <f>'Reported burning'!G2864</f>
        <v>ND</v>
      </c>
      <c r="H2864" s="152" t="str">
        <f>'Reported burning'!H2864</f>
        <v>Presence</v>
      </c>
      <c r="I2864" s="204"/>
      <c r="J2864" s="38" t="s">
        <v>2276</v>
      </c>
      <c r="K2864" s="38" t="s">
        <v>2276</v>
      </c>
      <c r="L2864" s="38" t="s">
        <v>2276</v>
      </c>
      <c r="M2864" s="38" t="s">
        <v>2276</v>
      </c>
      <c r="N2864" s="38" t="s">
        <v>2276</v>
      </c>
      <c r="O2864" s="38" t="s">
        <v>2276</v>
      </c>
      <c r="P2864" s="103" t="s">
        <v>2377</v>
      </c>
      <c r="Q2864" s="38" t="s">
        <v>2276</v>
      </c>
      <c r="R2864" s="38" t="s">
        <v>2276</v>
      </c>
      <c r="S2864" s="38" t="s">
        <v>2276</v>
      </c>
      <c r="T2864" s="38" t="s">
        <v>2276</v>
      </c>
      <c r="U2864" s="38" t="s">
        <v>2276</v>
      </c>
      <c r="V2864" s="38" t="s">
        <v>2276</v>
      </c>
      <c r="W2864" s="38" t="s">
        <v>2276</v>
      </c>
      <c r="X2864" s="38" t="s">
        <v>2276</v>
      </c>
      <c r="Y2864" s="38" t="s">
        <v>2276</v>
      </c>
      <c r="Z2864" s="38" t="s">
        <v>2276</v>
      </c>
      <c r="AA2864" s="204"/>
      <c r="AB2864" s="204"/>
    </row>
    <row r="2865" spans="1:28" ht="31" customHeight="1">
      <c r="A2865" s="152" t="str">
        <f>'Reported burning'!A2865</f>
        <v>306v</v>
      </c>
      <c r="B2865" s="152" t="str">
        <f>'Reported burning'!B2865</f>
        <v>306v.1</v>
      </c>
      <c r="C2865" s="152" t="str">
        <f>'Reported burning'!C2865</f>
        <v>Human, deliberate</v>
      </c>
      <c r="D2865" s="152" t="str">
        <f>'Reported burning'!D2865</f>
        <v>Pyrome management</v>
      </c>
      <c r="E2865" s="152" t="str">
        <f>'Reported burning'!E2865</f>
        <v>Fire suppression agent</v>
      </c>
      <c r="F2865" s="152" t="str">
        <f>'Reported burning'!F2865</f>
        <v>ND</v>
      </c>
      <c r="G2865" s="152" t="str">
        <f>'Reported burning'!G2865</f>
        <v>ND</v>
      </c>
      <c r="H2865" s="152" t="str">
        <f>'Reported burning'!H2865</f>
        <v>Presence</v>
      </c>
      <c r="I2865" s="204"/>
      <c r="J2865" s="38" t="s">
        <v>2276</v>
      </c>
      <c r="K2865" s="38" t="s">
        <v>2276</v>
      </c>
      <c r="L2865" s="38" t="s">
        <v>2276</v>
      </c>
      <c r="M2865" s="38" t="s">
        <v>2276</v>
      </c>
      <c r="N2865" s="38" t="s">
        <v>2276</v>
      </c>
      <c r="O2865" s="38" t="s">
        <v>2276</v>
      </c>
      <c r="P2865" s="103" t="s">
        <v>2378</v>
      </c>
      <c r="Q2865" s="38" t="s">
        <v>2276</v>
      </c>
      <c r="R2865" s="38" t="s">
        <v>2276</v>
      </c>
      <c r="S2865" s="38" t="s">
        <v>2276</v>
      </c>
      <c r="T2865" s="38" t="s">
        <v>2276</v>
      </c>
      <c r="U2865" s="38" t="s">
        <v>2276</v>
      </c>
      <c r="V2865" s="38" t="s">
        <v>2276</v>
      </c>
      <c r="W2865" s="38" t="s">
        <v>2276</v>
      </c>
      <c r="X2865" s="38" t="s">
        <v>2276</v>
      </c>
      <c r="Y2865" s="38" t="s">
        <v>2276</v>
      </c>
      <c r="Z2865" s="38" t="s">
        <v>2276</v>
      </c>
      <c r="AA2865" s="204"/>
      <c r="AB2865" s="204"/>
    </row>
    <row r="2866" spans="1:28" ht="31" customHeight="1">
      <c r="A2866" s="152" t="str">
        <f>'Reported burning'!A2866</f>
        <v>306w</v>
      </c>
      <c r="B2866" s="152" t="str">
        <f>'Reported burning'!B2866</f>
        <v>306w.1</v>
      </c>
      <c r="C2866" s="152" t="str">
        <f>'Reported burning'!C2866</f>
        <v>Human, deliberate</v>
      </c>
      <c r="D2866" s="152" t="str">
        <f>'Reported burning'!D2866</f>
        <v>Pyrome management</v>
      </c>
      <c r="E2866" s="152" t="str">
        <f>'Reported burning'!E2866</f>
        <v>Fire suppression agent</v>
      </c>
      <c r="F2866" s="152" t="str">
        <f>'Reported burning'!F2866</f>
        <v>ND</v>
      </c>
      <c r="G2866" s="152" t="str">
        <f>'Reported burning'!G2866</f>
        <v>ND</v>
      </c>
      <c r="H2866" s="152" t="str">
        <f>'Reported burning'!H2866</f>
        <v>Presence</v>
      </c>
      <c r="I2866" s="204"/>
      <c r="J2866" s="38" t="s">
        <v>2276</v>
      </c>
      <c r="K2866" s="38" t="s">
        <v>2276</v>
      </c>
      <c r="L2866" s="38" t="s">
        <v>2276</v>
      </c>
      <c r="M2866" s="38" t="s">
        <v>2276</v>
      </c>
      <c r="N2866" s="38" t="s">
        <v>2276</v>
      </c>
      <c r="O2866" s="38" t="s">
        <v>2276</v>
      </c>
      <c r="P2866" s="103" t="s">
        <v>2377</v>
      </c>
      <c r="Q2866" s="38" t="s">
        <v>2276</v>
      </c>
      <c r="R2866" s="38" t="s">
        <v>2276</v>
      </c>
      <c r="S2866" s="38" t="s">
        <v>2276</v>
      </c>
      <c r="T2866" s="38" t="s">
        <v>2276</v>
      </c>
      <c r="U2866" s="38" t="s">
        <v>2276</v>
      </c>
      <c r="V2866" s="38" t="s">
        <v>2276</v>
      </c>
      <c r="W2866" s="38" t="s">
        <v>2276</v>
      </c>
      <c r="X2866" s="38" t="s">
        <v>2276</v>
      </c>
      <c r="Y2866" s="38" t="s">
        <v>2276</v>
      </c>
      <c r="Z2866" s="38" t="s">
        <v>2276</v>
      </c>
      <c r="AA2866" s="204"/>
      <c r="AB2866" s="204"/>
    </row>
    <row r="2867" spans="1:28" ht="31" customHeight="1">
      <c r="A2867" s="152" t="str">
        <f>'Reported burning'!A2867</f>
        <v>306x</v>
      </c>
      <c r="B2867" s="152" t="str">
        <f>'Reported burning'!B2867</f>
        <v>306x.1</v>
      </c>
      <c r="C2867" s="152" t="str">
        <f>'Reported burning'!C2867</f>
        <v>Human, deliberate</v>
      </c>
      <c r="D2867" s="152" t="str">
        <f>'Reported burning'!D2867</f>
        <v>Pyrome management</v>
      </c>
      <c r="E2867" s="152" t="str">
        <f>'Reported burning'!E2867</f>
        <v>Fire suppression agent</v>
      </c>
      <c r="F2867" s="152" t="str">
        <f>'Reported burning'!F2867</f>
        <v>ND</v>
      </c>
      <c r="G2867" s="152" t="str">
        <f>'Reported burning'!G2867</f>
        <v>ND</v>
      </c>
      <c r="H2867" s="152" t="str">
        <f>'Reported burning'!H2867</f>
        <v>Presence</v>
      </c>
      <c r="I2867" s="204"/>
      <c r="J2867" s="38" t="s">
        <v>2276</v>
      </c>
      <c r="K2867" s="38" t="s">
        <v>2276</v>
      </c>
      <c r="L2867" s="38" t="s">
        <v>2276</v>
      </c>
      <c r="M2867" s="38" t="s">
        <v>2276</v>
      </c>
      <c r="N2867" s="38" t="s">
        <v>2276</v>
      </c>
      <c r="O2867" s="38" t="s">
        <v>2276</v>
      </c>
      <c r="P2867" s="103" t="s">
        <v>2378</v>
      </c>
      <c r="Q2867" s="38" t="s">
        <v>2276</v>
      </c>
      <c r="R2867" s="38" t="s">
        <v>2276</v>
      </c>
      <c r="S2867" s="38" t="s">
        <v>2276</v>
      </c>
      <c r="T2867" s="38" t="s">
        <v>2276</v>
      </c>
      <c r="U2867" s="38" t="s">
        <v>2276</v>
      </c>
      <c r="V2867" s="38" t="s">
        <v>2276</v>
      </c>
      <c r="W2867" s="38" t="s">
        <v>2276</v>
      </c>
      <c r="X2867" s="38" t="s">
        <v>2276</v>
      </c>
      <c r="Y2867" s="38" t="s">
        <v>2276</v>
      </c>
      <c r="Z2867" s="38" t="s">
        <v>2276</v>
      </c>
      <c r="AA2867" s="204"/>
      <c r="AB2867" s="204"/>
    </row>
    <row r="2868" spans="1:28" ht="31" customHeight="1">
      <c r="A2868" s="152" t="str">
        <f>'Reported burning'!A2868</f>
        <v>306y</v>
      </c>
      <c r="B2868" s="152" t="str">
        <f>'Reported burning'!B2868</f>
        <v>306y.1</v>
      </c>
      <c r="C2868" s="152" t="str">
        <f>'Reported burning'!C2868</f>
        <v>Human, deliberate</v>
      </c>
      <c r="D2868" s="152" t="str">
        <f>'Reported burning'!D2868</f>
        <v>Pyrome management</v>
      </c>
      <c r="E2868" s="152" t="str">
        <f>'Reported burning'!E2868</f>
        <v>Fire suppression agent</v>
      </c>
      <c r="F2868" s="152" t="str">
        <f>'Reported burning'!F2868</f>
        <v>ND</v>
      </c>
      <c r="G2868" s="152" t="str">
        <f>'Reported burning'!G2868</f>
        <v>ND</v>
      </c>
      <c r="H2868" s="152" t="str">
        <f>'Reported burning'!H2868</f>
        <v>Presence</v>
      </c>
      <c r="I2868" s="204"/>
      <c r="J2868" s="38" t="s">
        <v>2276</v>
      </c>
      <c r="K2868" s="38" t="s">
        <v>2276</v>
      </c>
      <c r="L2868" s="38" t="s">
        <v>2276</v>
      </c>
      <c r="M2868" s="38" t="s">
        <v>2276</v>
      </c>
      <c r="N2868" s="38" t="s">
        <v>2276</v>
      </c>
      <c r="O2868" s="38" t="s">
        <v>2276</v>
      </c>
      <c r="P2868" s="103" t="s">
        <v>2379</v>
      </c>
      <c r="Q2868" s="38" t="s">
        <v>2276</v>
      </c>
      <c r="R2868" s="38" t="s">
        <v>2276</v>
      </c>
      <c r="S2868" s="38" t="s">
        <v>2276</v>
      </c>
      <c r="T2868" s="38" t="s">
        <v>2276</v>
      </c>
      <c r="U2868" s="38" t="s">
        <v>2276</v>
      </c>
      <c r="V2868" s="38" t="s">
        <v>2276</v>
      </c>
      <c r="W2868" s="38" t="s">
        <v>2276</v>
      </c>
      <c r="X2868" s="38" t="s">
        <v>2276</v>
      </c>
      <c r="Y2868" s="38" t="s">
        <v>2276</v>
      </c>
      <c r="Z2868" s="38" t="s">
        <v>2276</v>
      </c>
      <c r="AA2868" s="204"/>
      <c r="AB2868" s="204"/>
    </row>
    <row r="2869" spans="1:28" ht="31" customHeight="1">
      <c r="A2869" s="152" t="str">
        <f>'Reported burning'!A2869</f>
        <v>306z</v>
      </c>
      <c r="B2869" s="152" t="str">
        <f>'Reported burning'!B2869</f>
        <v>306z.1</v>
      </c>
      <c r="C2869" s="152" t="str">
        <f>'Reported burning'!C2869</f>
        <v>Human, deliberate</v>
      </c>
      <c r="D2869" s="152" t="str">
        <f>'Reported burning'!D2869</f>
        <v>Pyrome management</v>
      </c>
      <c r="E2869" s="152" t="str">
        <f>'Reported burning'!E2869</f>
        <v>Fire suppression agent</v>
      </c>
      <c r="F2869" s="152" t="str">
        <f>'Reported burning'!F2869</f>
        <v>ND</v>
      </c>
      <c r="G2869" s="152" t="str">
        <f>'Reported burning'!G2869</f>
        <v>ND</v>
      </c>
      <c r="H2869" s="152" t="str">
        <f>'Reported burning'!H2869</f>
        <v>Presence</v>
      </c>
      <c r="I2869" s="204"/>
      <c r="J2869" s="38" t="s">
        <v>2276</v>
      </c>
      <c r="K2869" s="38" t="s">
        <v>2276</v>
      </c>
      <c r="L2869" s="38" t="s">
        <v>2276</v>
      </c>
      <c r="M2869" s="38" t="s">
        <v>2276</v>
      </c>
      <c r="N2869" s="38" t="s">
        <v>2276</v>
      </c>
      <c r="O2869" s="38" t="s">
        <v>2276</v>
      </c>
      <c r="P2869" s="103" t="s">
        <v>2380</v>
      </c>
      <c r="Q2869" s="38" t="s">
        <v>2276</v>
      </c>
      <c r="R2869" s="38" t="s">
        <v>2276</v>
      </c>
      <c r="S2869" s="38" t="s">
        <v>2276</v>
      </c>
      <c r="T2869" s="38" t="s">
        <v>2276</v>
      </c>
      <c r="U2869" s="38" t="s">
        <v>2276</v>
      </c>
      <c r="V2869" s="38" t="s">
        <v>2276</v>
      </c>
      <c r="W2869" s="38" t="s">
        <v>2276</v>
      </c>
      <c r="X2869" s="38" t="s">
        <v>2276</v>
      </c>
      <c r="Y2869" s="38" t="s">
        <v>2276</v>
      </c>
      <c r="Z2869" s="38" t="s">
        <v>2276</v>
      </c>
      <c r="AA2869" s="204"/>
      <c r="AB2869" s="204"/>
    </row>
    <row r="2870" spans="1:28" ht="31" customHeight="1">
      <c r="A2870" s="152" t="str">
        <f>'Reported burning'!A2870</f>
        <v>306aa</v>
      </c>
      <c r="B2870" s="152" t="str">
        <f>'Reported burning'!B2870</f>
        <v>306aa.1</v>
      </c>
      <c r="C2870" s="152" t="str">
        <f>'Reported burning'!C2870</f>
        <v>Human, deliberate</v>
      </c>
      <c r="D2870" s="152" t="str">
        <f>'Reported burning'!D2870</f>
        <v>Pyrome management</v>
      </c>
      <c r="E2870" s="152" t="str">
        <f>'Reported burning'!E2870</f>
        <v>Fire suppression agent</v>
      </c>
      <c r="F2870" s="152" t="str">
        <f>'Reported burning'!F2870</f>
        <v>ND</v>
      </c>
      <c r="G2870" s="152" t="str">
        <f>'Reported burning'!G2870</f>
        <v>ND</v>
      </c>
      <c r="H2870" s="152" t="str">
        <f>'Reported burning'!H2870</f>
        <v>Presence</v>
      </c>
      <c r="I2870" s="204"/>
      <c r="J2870" s="38" t="s">
        <v>2276</v>
      </c>
      <c r="K2870" s="38" t="s">
        <v>2276</v>
      </c>
      <c r="L2870" s="38" t="s">
        <v>2276</v>
      </c>
      <c r="M2870" s="38" t="s">
        <v>2276</v>
      </c>
      <c r="N2870" s="38" t="s">
        <v>2276</v>
      </c>
      <c r="O2870" s="38" t="s">
        <v>2276</v>
      </c>
      <c r="P2870" s="103" t="s">
        <v>2378</v>
      </c>
      <c r="Q2870" s="38" t="s">
        <v>2276</v>
      </c>
      <c r="R2870" s="38" t="s">
        <v>2276</v>
      </c>
      <c r="S2870" s="38" t="s">
        <v>2276</v>
      </c>
      <c r="T2870" s="38" t="s">
        <v>2276</v>
      </c>
      <c r="U2870" s="38" t="s">
        <v>2276</v>
      </c>
      <c r="V2870" s="38" t="s">
        <v>2276</v>
      </c>
      <c r="W2870" s="38" t="s">
        <v>2276</v>
      </c>
      <c r="X2870" s="38" t="s">
        <v>2276</v>
      </c>
      <c r="Y2870" s="38" t="s">
        <v>2276</v>
      </c>
      <c r="Z2870" s="38" t="s">
        <v>2276</v>
      </c>
      <c r="AA2870" s="204"/>
      <c r="AB2870" s="204"/>
    </row>
    <row r="2871" spans="1:28" ht="31" customHeight="1">
      <c r="A2871" s="152" t="str">
        <f>'Reported burning'!A2871</f>
        <v>306ab</v>
      </c>
      <c r="B2871" s="152" t="str">
        <f>'Reported burning'!B2871</f>
        <v>306ab.1</v>
      </c>
      <c r="C2871" s="152" t="str">
        <f>'Reported burning'!C2871</f>
        <v>Human, deliberate</v>
      </c>
      <c r="D2871" s="152" t="str">
        <f>'Reported burning'!D2871</f>
        <v>Pyrome management</v>
      </c>
      <c r="E2871" s="152" t="str">
        <f>'Reported burning'!E2871</f>
        <v>Fire suppression agent</v>
      </c>
      <c r="F2871" s="152" t="str">
        <f>'Reported burning'!F2871</f>
        <v>ND</v>
      </c>
      <c r="G2871" s="152" t="str">
        <f>'Reported burning'!G2871</f>
        <v>ND</v>
      </c>
      <c r="H2871" s="152" t="str">
        <f>'Reported burning'!H2871</f>
        <v>Presence</v>
      </c>
      <c r="I2871" s="204"/>
      <c r="J2871" s="38" t="s">
        <v>2276</v>
      </c>
      <c r="K2871" s="38" t="s">
        <v>2276</v>
      </c>
      <c r="L2871" s="38" t="s">
        <v>2276</v>
      </c>
      <c r="M2871" s="38" t="s">
        <v>2276</v>
      </c>
      <c r="N2871" s="38" t="s">
        <v>2276</v>
      </c>
      <c r="O2871" s="38" t="s">
        <v>2276</v>
      </c>
      <c r="P2871" s="103" t="s">
        <v>2377</v>
      </c>
      <c r="Q2871" s="38" t="s">
        <v>2276</v>
      </c>
      <c r="R2871" s="38" t="s">
        <v>2276</v>
      </c>
      <c r="S2871" s="38" t="s">
        <v>2276</v>
      </c>
      <c r="T2871" s="38" t="s">
        <v>2276</v>
      </c>
      <c r="U2871" s="38" t="s">
        <v>2276</v>
      </c>
      <c r="V2871" s="38" t="s">
        <v>2276</v>
      </c>
      <c r="W2871" s="38" t="s">
        <v>2276</v>
      </c>
      <c r="X2871" s="38" t="s">
        <v>2276</v>
      </c>
      <c r="Y2871" s="38" t="s">
        <v>2276</v>
      </c>
      <c r="Z2871" s="38" t="s">
        <v>2276</v>
      </c>
      <c r="AA2871" s="204"/>
      <c r="AB2871" s="204"/>
    </row>
    <row r="2872" spans="1:28" ht="31" customHeight="1">
      <c r="A2872" s="152" t="str">
        <f>'Reported burning'!A2872</f>
        <v>306ac</v>
      </c>
      <c r="B2872" s="152" t="str">
        <f>'Reported burning'!B2872</f>
        <v>306ac.1</v>
      </c>
      <c r="C2872" s="152" t="str">
        <f>'Reported burning'!C2872</f>
        <v>Human, deliberate</v>
      </c>
      <c r="D2872" s="152" t="str">
        <f>'Reported burning'!D2872</f>
        <v>Pyrome management</v>
      </c>
      <c r="E2872" s="152" t="str">
        <f>'Reported burning'!E2872</f>
        <v>Fire suppression agent</v>
      </c>
      <c r="F2872" s="152" t="str">
        <f>'Reported burning'!F2872</f>
        <v>ND</v>
      </c>
      <c r="G2872" s="152" t="str">
        <f>'Reported burning'!G2872</f>
        <v>ND</v>
      </c>
      <c r="H2872" s="152" t="str">
        <f>'Reported burning'!H2872</f>
        <v>Presence</v>
      </c>
      <c r="I2872" s="204"/>
      <c r="J2872" s="38" t="s">
        <v>2276</v>
      </c>
      <c r="K2872" s="38" t="s">
        <v>2276</v>
      </c>
      <c r="L2872" s="38" t="s">
        <v>2276</v>
      </c>
      <c r="M2872" s="38" t="s">
        <v>2276</v>
      </c>
      <c r="N2872" s="38" t="s">
        <v>2276</v>
      </c>
      <c r="O2872" s="38" t="s">
        <v>2276</v>
      </c>
      <c r="P2872" s="103" t="s">
        <v>2377</v>
      </c>
      <c r="Q2872" s="38" t="s">
        <v>2276</v>
      </c>
      <c r="R2872" s="38" t="s">
        <v>2276</v>
      </c>
      <c r="S2872" s="38" t="s">
        <v>2276</v>
      </c>
      <c r="T2872" s="38" t="s">
        <v>2276</v>
      </c>
      <c r="U2872" s="38" t="s">
        <v>2276</v>
      </c>
      <c r="V2872" s="38" t="s">
        <v>2276</v>
      </c>
      <c r="W2872" s="38" t="s">
        <v>2276</v>
      </c>
      <c r="X2872" s="38" t="s">
        <v>2276</v>
      </c>
      <c r="Y2872" s="38" t="s">
        <v>2276</v>
      </c>
      <c r="Z2872" s="38" t="s">
        <v>2276</v>
      </c>
      <c r="AA2872" s="204"/>
      <c r="AB2872" s="204"/>
    </row>
    <row r="2873" spans="1:28" ht="31" customHeight="1">
      <c r="A2873" s="152" t="str">
        <f>'Reported burning'!A2873</f>
        <v>306ad</v>
      </c>
      <c r="B2873" s="152" t="str">
        <f>'Reported burning'!B2873</f>
        <v>306ad.1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38" t="s">
        <v>2276</v>
      </c>
      <c r="K2873" s="38" t="s">
        <v>2276</v>
      </c>
      <c r="L2873" s="38" t="s">
        <v>2276</v>
      </c>
      <c r="M2873" s="38" t="s">
        <v>2276</v>
      </c>
      <c r="N2873" s="38" t="s">
        <v>2276</v>
      </c>
      <c r="O2873" s="38" t="s">
        <v>2276</v>
      </c>
      <c r="P2873" s="103" t="s">
        <v>2378</v>
      </c>
      <c r="Q2873" s="38" t="s">
        <v>2276</v>
      </c>
      <c r="R2873" s="38" t="s">
        <v>2276</v>
      </c>
      <c r="S2873" s="38" t="s">
        <v>2276</v>
      </c>
      <c r="T2873" s="38" t="s">
        <v>2276</v>
      </c>
      <c r="U2873" s="38" t="s">
        <v>2276</v>
      </c>
      <c r="V2873" s="38" t="s">
        <v>2276</v>
      </c>
      <c r="W2873" s="38" t="s">
        <v>2276</v>
      </c>
      <c r="X2873" s="38" t="s">
        <v>2276</v>
      </c>
      <c r="Y2873" s="38" t="s">
        <v>2276</v>
      </c>
      <c r="Z2873" s="38" t="s">
        <v>2276</v>
      </c>
      <c r="AA2873" s="204"/>
      <c r="AB2873" s="204"/>
    </row>
    <row r="2874" spans="1:28" ht="31" customHeight="1">
      <c r="A2874" s="152" t="str">
        <f>'Reported burning'!A2874</f>
        <v>306ae</v>
      </c>
      <c r="B2874" s="152" t="str">
        <f>'Reported burning'!B2874</f>
        <v>306ae.1</v>
      </c>
      <c r="C2874" s="152" t="str">
        <f>'Reported burning'!C2874</f>
        <v>Human, deliberate</v>
      </c>
      <c r="D2874" s="152" t="str">
        <f>'Reported burning'!D2874</f>
        <v>Pyrome management</v>
      </c>
      <c r="E2874" s="152" t="str">
        <f>'Reported burning'!E2874</f>
        <v>Fire suppression agent</v>
      </c>
      <c r="F2874" s="152" t="str">
        <f>'Reported burning'!F2874</f>
        <v>ND</v>
      </c>
      <c r="G2874" s="152" t="str">
        <f>'Reported burning'!G2874</f>
        <v>ND</v>
      </c>
      <c r="H2874" s="152" t="str">
        <f>'Reported burning'!H2874</f>
        <v>Presence</v>
      </c>
      <c r="I2874" s="204"/>
      <c r="J2874" s="38" t="s">
        <v>2276</v>
      </c>
      <c r="K2874" s="38" t="s">
        <v>2276</v>
      </c>
      <c r="L2874" s="38" t="s">
        <v>2276</v>
      </c>
      <c r="M2874" s="38" t="s">
        <v>2276</v>
      </c>
      <c r="N2874" s="38" t="s">
        <v>2276</v>
      </c>
      <c r="O2874" s="38" t="s">
        <v>2276</v>
      </c>
      <c r="P2874" s="103" t="s">
        <v>2378</v>
      </c>
      <c r="Q2874" s="38" t="s">
        <v>2276</v>
      </c>
      <c r="R2874" s="38" t="s">
        <v>2276</v>
      </c>
      <c r="S2874" s="38" t="s">
        <v>2276</v>
      </c>
      <c r="T2874" s="38" t="s">
        <v>2276</v>
      </c>
      <c r="U2874" s="38" t="s">
        <v>2276</v>
      </c>
      <c r="V2874" s="38" t="s">
        <v>2276</v>
      </c>
      <c r="W2874" s="38" t="s">
        <v>2276</v>
      </c>
      <c r="X2874" s="38" t="s">
        <v>2276</v>
      </c>
      <c r="Y2874" s="38" t="s">
        <v>2276</v>
      </c>
      <c r="Z2874" s="38" t="s">
        <v>2276</v>
      </c>
      <c r="AA2874" s="204"/>
      <c r="AB2874" s="204"/>
    </row>
    <row r="2875" spans="1:28" ht="31" customHeight="1">
      <c r="A2875" s="152" t="str">
        <f>'Reported burning'!A2875</f>
        <v>306af</v>
      </c>
      <c r="B2875" s="152" t="str">
        <f>'Reported burning'!B2875</f>
        <v>306af.1</v>
      </c>
      <c r="C2875" s="152" t="str">
        <f>'Reported burning'!C2875</f>
        <v>Human, deliberate</v>
      </c>
      <c r="D2875" s="152" t="str">
        <f>'Reported burning'!D2875</f>
        <v>Pyrome management</v>
      </c>
      <c r="E2875" s="152" t="str">
        <f>'Reported burning'!E2875</f>
        <v>Fire suppression agent</v>
      </c>
      <c r="F2875" s="152" t="str">
        <f>'Reported burning'!F2875</f>
        <v>ND</v>
      </c>
      <c r="G2875" s="152" t="str">
        <f>'Reported burning'!G2875</f>
        <v>ND</v>
      </c>
      <c r="H2875" s="152" t="str">
        <f>'Reported burning'!H2875</f>
        <v>Presence</v>
      </c>
      <c r="I2875" s="204"/>
      <c r="J2875" s="38" t="s">
        <v>2276</v>
      </c>
      <c r="K2875" s="38" t="s">
        <v>2276</v>
      </c>
      <c r="L2875" s="38" t="s">
        <v>2276</v>
      </c>
      <c r="M2875" s="38" t="s">
        <v>2276</v>
      </c>
      <c r="N2875" s="38" t="s">
        <v>2276</v>
      </c>
      <c r="O2875" s="38" t="s">
        <v>2276</v>
      </c>
      <c r="P2875" s="103" t="s">
        <v>2380</v>
      </c>
      <c r="Q2875" s="38" t="s">
        <v>2276</v>
      </c>
      <c r="R2875" s="38" t="s">
        <v>2276</v>
      </c>
      <c r="S2875" s="38" t="s">
        <v>2276</v>
      </c>
      <c r="T2875" s="38" t="s">
        <v>2276</v>
      </c>
      <c r="U2875" s="38" t="s">
        <v>2276</v>
      </c>
      <c r="V2875" s="38" t="s">
        <v>2276</v>
      </c>
      <c r="W2875" s="38" t="s">
        <v>2276</v>
      </c>
      <c r="X2875" s="38" t="s">
        <v>2276</v>
      </c>
      <c r="Y2875" s="38" t="s">
        <v>2276</v>
      </c>
      <c r="Z2875" s="38" t="s">
        <v>2276</v>
      </c>
      <c r="AA2875" s="204"/>
      <c r="AB2875" s="204"/>
    </row>
    <row r="2876" spans="1:28" ht="31" customHeight="1">
      <c r="A2876" s="152" t="str">
        <f>'Reported burning'!A2876</f>
        <v>306ag</v>
      </c>
      <c r="B2876" s="152" t="str">
        <f>'Reported burning'!B2876</f>
        <v>306ag.1</v>
      </c>
      <c r="C2876" s="152" t="str">
        <f>'Reported burning'!C2876</f>
        <v>Human, deliberate</v>
      </c>
      <c r="D2876" s="152" t="str">
        <f>'Reported burning'!D2876</f>
        <v>Pyrome management</v>
      </c>
      <c r="E2876" s="152" t="str">
        <f>'Reported burning'!E2876</f>
        <v>Fire suppression agent</v>
      </c>
      <c r="F2876" s="152" t="str">
        <f>'Reported burning'!F2876</f>
        <v>ND</v>
      </c>
      <c r="G2876" s="152" t="str">
        <f>'Reported burning'!G2876</f>
        <v>ND</v>
      </c>
      <c r="H2876" s="152" t="str">
        <f>'Reported burning'!H2876</f>
        <v>Presence</v>
      </c>
      <c r="I2876" s="204"/>
      <c r="J2876" s="38" t="s">
        <v>2276</v>
      </c>
      <c r="K2876" s="38" t="s">
        <v>2276</v>
      </c>
      <c r="L2876" s="38" t="s">
        <v>2276</v>
      </c>
      <c r="M2876" s="38" t="s">
        <v>2276</v>
      </c>
      <c r="N2876" s="38" t="s">
        <v>2276</v>
      </c>
      <c r="O2876" s="38" t="s">
        <v>2276</v>
      </c>
      <c r="P2876" s="103" t="s">
        <v>2362</v>
      </c>
      <c r="Q2876" s="38" t="s">
        <v>2276</v>
      </c>
      <c r="R2876" s="38" t="s">
        <v>2276</v>
      </c>
      <c r="S2876" s="38" t="s">
        <v>2276</v>
      </c>
      <c r="T2876" s="38" t="s">
        <v>2276</v>
      </c>
      <c r="U2876" s="38" t="s">
        <v>2276</v>
      </c>
      <c r="V2876" s="38" t="s">
        <v>2276</v>
      </c>
      <c r="W2876" s="38" t="s">
        <v>2276</v>
      </c>
      <c r="X2876" s="38" t="s">
        <v>2276</v>
      </c>
      <c r="Y2876" s="38" t="s">
        <v>2276</v>
      </c>
      <c r="Z2876" s="38" t="s">
        <v>2276</v>
      </c>
      <c r="AA2876" s="204"/>
      <c r="AB2876" s="204"/>
    </row>
    <row r="2877" spans="1:28" ht="31" customHeight="1">
      <c r="A2877" s="152" t="str">
        <f>'Reported burning'!A2877</f>
        <v>306ah</v>
      </c>
      <c r="B2877" s="152" t="str">
        <f>'Reported burning'!B2877</f>
        <v>306ah.1</v>
      </c>
      <c r="C2877" s="152" t="str">
        <f>'Reported burning'!C2877</f>
        <v>Human, deliberate</v>
      </c>
      <c r="D2877" s="152" t="str">
        <f>'Reported burning'!D2877</f>
        <v>Pyrome management</v>
      </c>
      <c r="E2877" s="152" t="str">
        <f>'Reported burning'!E2877</f>
        <v>Fire suppression agent</v>
      </c>
      <c r="F2877" s="152" t="str">
        <f>'Reported burning'!F2877</f>
        <v>ND</v>
      </c>
      <c r="G2877" s="152" t="str">
        <f>'Reported burning'!G2877</f>
        <v>ND</v>
      </c>
      <c r="H2877" s="152" t="str">
        <f>'Reported burning'!H2877</f>
        <v>Presence</v>
      </c>
      <c r="I2877" s="204"/>
      <c r="J2877" s="38" t="s">
        <v>2276</v>
      </c>
      <c r="K2877" s="38" t="s">
        <v>2276</v>
      </c>
      <c r="L2877" s="38" t="s">
        <v>2276</v>
      </c>
      <c r="M2877" s="38" t="s">
        <v>2276</v>
      </c>
      <c r="N2877" s="38" t="s">
        <v>2276</v>
      </c>
      <c r="O2877" s="38" t="s">
        <v>2276</v>
      </c>
      <c r="P2877" s="103" t="s">
        <v>2380</v>
      </c>
      <c r="Q2877" s="38" t="s">
        <v>2276</v>
      </c>
      <c r="R2877" s="38" t="s">
        <v>2276</v>
      </c>
      <c r="S2877" s="38" t="s">
        <v>2276</v>
      </c>
      <c r="T2877" s="38" t="s">
        <v>2276</v>
      </c>
      <c r="U2877" s="38" t="s">
        <v>2276</v>
      </c>
      <c r="V2877" s="38" t="s">
        <v>2276</v>
      </c>
      <c r="W2877" s="38" t="s">
        <v>2276</v>
      </c>
      <c r="X2877" s="38" t="s">
        <v>2276</v>
      </c>
      <c r="Y2877" s="38" t="s">
        <v>2276</v>
      </c>
      <c r="Z2877" s="38" t="s">
        <v>2276</v>
      </c>
      <c r="AA2877" s="204"/>
      <c r="AB2877" s="204"/>
    </row>
    <row r="2878" spans="1:28" ht="31" customHeight="1">
      <c r="A2878" s="152" t="str">
        <f>'Reported burning'!A2878</f>
        <v>306ai</v>
      </c>
      <c r="B2878" s="152" t="str">
        <f>'Reported burning'!B2878</f>
        <v>306ai.1</v>
      </c>
      <c r="C2878" s="152" t="str">
        <f>'Reported burning'!C2878</f>
        <v>Human, deliberate</v>
      </c>
      <c r="D2878" s="152" t="str">
        <f>'Reported burning'!D2878</f>
        <v>Pyrome management</v>
      </c>
      <c r="E2878" s="152" t="str">
        <f>'Reported burning'!E2878</f>
        <v>Fire suppression agent</v>
      </c>
      <c r="F2878" s="152" t="str">
        <f>'Reported burning'!F2878</f>
        <v>ND</v>
      </c>
      <c r="G2878" s="152" t="str">
        <f>'Reported burning'!G2878</f>
        <v>ND</v>
      </c>
      <c r="H2878" s="152" t="str">
        <f>'Reported burning'!H2878</f>
        <v>Absence</v>
      </c>
      <c r="I2878" s="204"/>
      <c r="J2878" s="38" t="s">
        <v>2276</v>
      </c>
      <c r="K2878" s="38" t="s">
        <v>2276</v>
      </c>
      <c r="L2878" s="38" t="s">
        <v>2276</v>
      </c>
      <c r="M2878" s="38" t="s">
        <v>2276</v>
      </c>
      <c r="N2878" s="38" t="s">
        <v>2276</v>
      </c>
      <c r="O2878" s="38" t="s">
        <v>2276</v>
      </c>
      <c r="P2878" s="103">
        <v>0</v>
      </c>
      <c r="Q2878" s="38" t="s">
        <v>2276</v>
      </c>
      <c r="R2878" s="38" t="s">
        <v>2276</v>
      </c>
      <c r="S2878" s="38" t="s">
        <v>2276</v>
      </c>
      <c r="T2878" s="38" t="s">
        <v>2276</v>
      </c>
      <c r="U2878" s="38" t="s">
        <v>2276</v>
      </c>
      <c r="V2878" s="38" t="s">
        <v>2276</v>
      </c>
      <c r="W2878" s="38" t="s">
        <v>2276</v>
      </c>
      <c r="X2878" s="38" t="s">
        <v>2276</v>
      </c>
      <c r="Y2878" s="38" t="s">
        <v>2276</v>
      </c>
      <c r="Z2878" s="38" t="s">
        <v>2276</v>
      </c>
      <c r="AA2878" s="204"/>
      <c r="AB2878" s="204"/>
    </row>
    <row r="2879" spans="1:28" ht="31" customHeight="1">
      <c r="A2879" s="152" t="str">
        <f>'Reported burning'!A2879</f>
        <v>306aj</v>
      </c>
      <c r="B2879" s="152" t="str">
        <f>'Reported burning'!B2879</f>
        <v>306aj.1</v>
      </c>
      <c r="C2879" s="152" t="str">
        <f>'Reported burning'!C2879</f>
        <v>Human, deliberate</v>
      </c>
      <c r="D2879" s="152" t="str">
        <f>'Reported burning'!D2879</f>
        <v>Pyrome management</v>
      </c>
      <c r="E2879" s="152" t="str">
        <f>'Reported burning'!E2879</f>
        <v>Fire suppression agent</v>
      </c>
      <c r="F2879" s="152" t="str">
        <f>'Reported burning'!F2879</f>
        <v>ND</v>
      </c>
      <c r="G2879" s="152" t="str">
        <f>'Reported burning'!G2879</f>
        <v>ND</v>
      </c>
      <c r="H2879" s="152" t="str">
        <f>'Reported burning'!H2879</f>
        <v>Presence</v>
      </c>
      <c r="I2879" s="204"/>
      <c r="J2879" s="38" t="s">
        <v>2276</v>
      </c>
      <c r="K2879" s="38" t="s">
        <v>2276</v>
      </c>
      <c r="L2879" s="38" t="s">
        <v>2276</v>
      </c>
      <c r="M2879" s="38" t="s">
        <v>2276</v>
      </c>
      <c r="N2879" s="38" t="s">
        <v>2276</v>
      </c>
      <c r="O2879" s="38" t="s">
        <v>2276</v>
      </c>
      <c r="P2879" s="103" t="s">
        <v>2380</v>
      </c>
      <c r="Q2879" s="38" t="s">
        <v>2276</v>
      </c>
      <c r="R2879" s="38" t="s">
        <v>2276</v>
      </c>
      <c r="S2879" s="38" t="s">
        <v>2276</v>
      </c>
      <c r="T2879" s="38" t="s">
        <v>2276</v>
      </c>
      <c r="U2879" s="38" t="s">
        <v>2276</v>
      </c>
      <c r="V2879" s="38" t="s">
        <v>2276</v>
      </c>
      <c r="W2879" s="38" t="s">
        <v>2276</v>
      </c>
      <c r="X2879" s="38" t="s">
        <v>2276</v>
      </c>
      <c r="Y2879" s="38" t="s">
        <v>2276</v>
      </c>
      <c r="Z2879" s="38" t="s">
        <v>2276</v>
      </c>
      <c r="AA2879" s="204"/>
      <c r="AB2879" s="204"/>
    </row>
    <row r="2880" spans="1:28" ht="31" customHeight="1">
      <c r="A2880" s="152" t="str">
        <f>'Reported burning'!A2880</f>
        <v>306ak</v>
      </c>
      <c r="B2880" s="152" t="str">
        <f>'Reported burning'!B2880</f>
        <v>306ak.1</v>
      </c>
      <c r="C2880" s="152" t="str">
        <f>'Reported burning'!C2880</f>
        <v>Human, deliberate</v>
      </c>
      <c r="D2880" s="152" t="str">
        <f>'Reported burning'!D2880</f>
        <v>Pyrome management</v>
      </c>
      <c r="E2880" s="152" t="str">
        <f>'Reported burning'!E2880</f>
        <v>Fire suppression agent</v>
      </c>
      <c r="F2880" s="152" t="str">
        <f>'Reported burning'!F2880</f>
        <v>ND</v>
      </c>
      <c r="G2880" s="152" t="str">
        <f>'Reported burning'!G2880</f>
        <v>ND</v>
      </c>
      <c r="H2880" s="152" t="str">
        <f>'Reported burning'!H2880</f>
        <v>Presence</v>
      </c>
      <c r="I2880" s="204"/>
      <c r="J2880" s="38" t="s">
        <v>2276</v>
      </c>
      <c r="K2880" s="38" t="s">
        <v>2276</v>
      </c>
      <c r="L2880" s="38" t="s">
        <v>2276</v>
      </c>
      <c r="M2880" s="38" t="s">
        <v>2276</v>
      </c>
      <c r="N2880" s="38" t="s">
        <v>2276</v>
      </c>
      <c r="O2880" s="38" t="s">
        <v>2276</v>
      </c>
      <c r="P2880" s="103" t="s">
        <v>2378</v>
      </c>
      <c r="Q2880" s="38" t="s">
        <v>2276</v>
      </c>
      <c r="R2880" s="38" t="s">
        <v>2276</v>
      </c>
      <c r="S2880" s="38" t="s">
        <v>2276</v>
      </c>
      <c r="T2880" s="38" t="s">
        <v>2276</v>
      </c>
      <c r="U2880" s="38" t="s">
        <v>2276</v>
      </c>
      <c r="V2880" s="38" t="s">
        <v>2276</v>
      </c>
      <c r="W2880" s="38" t="s">
        <v>2276</v>
      </c>
      <c r="X2880" s="38" t="s">
        <v>2276</v>
      </c>
      <c r="Y2880" s="38" t="s">
        <v>2276</v>
      </c>
      <c r="Z2880" s="38" t="s">
        <v>2276</v>
      </c>
      <c r="AA2880" s="204"/>
      <c r="AB2880" s="204"/>
    </row>
    <row r="2881" spans="1:28" ht="31" customHeight="1">
      <c r="A2881" s="152" t="str">
        <f>'Reported burning'!A2881</f>
        <v>306al</v>
      </c>
      <c r="B2881" s="152" t="str">
        <f>'Reported burning'!B2881</f>
        <v>306al.1</v>
      </c>
      <c r="C2881" s="152" t="str">
        <f>'Reported burning'!C2881</f>
        <v>Human, deliberate</v>
      </c>
      <c r="D2881" s="152" t="str">
        <f>'Reported burning'!D2881</f>
        <v>Pyrome management</v>
      </c>
      <c r="E2881" s="152" t="str">
        <f>'Reported burning'!E2881</f>
        <v>Fire suppression agent</v>
      </c>
      <c r="F2881" s="152" t="str">
        <f>'Reported burning'!F2881</f>
        <v>ND</v>
      </c>
      <c r="G2881" s="152" t="str">
        <f>'Reported burning'!G2881</f>
        <v>ND</v>
      </c>
      <c r="H2881" s="152" t="str">
        <f>'Reported burning'!H2881</f>
        <v>Presence</v>
      </c>
      <c r="I2881" s="204"/>
      <c r="J2881" s="38" t="s">
        <v>2276</v>
      </c>
      <c r="K2881" s="38" t="s">
        <v>2276</v>
      </c>
      <c r="L2881" s="38" t="s">
        <v>2276</v>
      </c>
      <c r="M2881" s="38" t="s">
        <v>2276</v>
      </c>
      <c r="N2881" s="38" t="s">
        <v>2276</v>
      </c>
      <c r="O2881" s="38" t="s">
        <v>2276</v>
      </c>
      <c r="P2881" s="103" t="s">
        <v>2380</v>
      </c>
      <c r="Q2881" s="38" t="s">
        <v>2276</v>
      </c>
      <c r="R2881" s="38" t="s">
        <v>2276</v>
      </c>
      <c r="S2881" s="38" t="s">
        <v>2276</v>
      </c>
      <c r="T2881" s="38" t="s">
        <v>2276</v>
      </c>
      <c r="U2881" s="38" t="s">
        <v>2276</v>
      </c>
      <c r="V2881" s="38" t="s">
        <v>2276</v>
      </c>
      <c r="W2881" s="38" t="s">
        <v>2276</v>
      </c>
      <c r="X2881" s="38" t="s">
        <v>2276</v>
      </c>
      <c r="Y2881" s="38" t="s">
        <v>2276</v>
      </c>
      <c r="Z2881" s="38" t="s">
        <v>2276</v>
      </c>
      <c r="AA2881" s="204"/>
      <c r="AB2881" s="204"/>
    </row>
    <row r="2882" spans="1:28" ht="31" customHeight="1">
      <c r="A2882" s="152" t="str">
        <f>'Reported burning'!A2882</f>
        <v>306am</v>
      </c>
      <c r="B2882" s="152" t="str">
        <f>'Reported burning'!B2882</f>
        <v>306am.1</v>
      </c>
      <c r="C2882" s="152" t="str">
        <f>'Reported burning'!C2882</f>
        <v>Human, deliberate</v>
      </c>
      <c r="D2882" s="152" t="str">
        <f>'Reported burning'!D2882</f>
        <v>Pyrome management</v>
      </c>
      <c r="E2882" s="152" t="str">
        <f>'Reported burning'!E2882</f>
        <v>Fire suppression agent</v>
      </c>
      <c r="F2882" s="152" t="str">
        <f>'Reported burning'!F2882</f>
        <v>ND</v>
      </c>
      <c r="G2882" s="152" t="str">
        <f>'Reported burning'!G2882</f>
        <v>ND</v>
      </c>
      <c r="H2882" s="152" t="str">
        <f>'Reported burning'!H2882</f>
        <v>Presence</v>
      </c>
      <c r="I2882" s="204"/>
      <c r="J2882" s="38" t="s">
        <v>2276</v>
      </c>
      <c r="K2882" s="38" t="s">
        <v>2276</v>
      </c>
      <c r="L2882" s="38" t="s">
        <v>2276</v>
      </c>
      <c r="M2882" s="38" t="s">
        <v>2276</v>
      </c>
      <c r="N2882" s="38" t="s">
        <v>2276</v>
      </c>
      <c r="O2882" s="38" t="s">
        <v>2276</v>
      </c>
      <c r="P2882" s="103" t="s">
        <v>2377</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1" customHeight="1">
      <c r="A2883" s="152" t="str">
        <f>'Reported burning'!A2883</f>
        <v>306an</v>
      </c>
      <c r="B2883" s="152" t="str">
        <f>'Reported burning'!B2883</f>
        <v>306an.1</v>
      </c>
      <c r="C2883" s="152" t="str">
        <f>'Reported burning'!C2883</f>
        <v>Human, deliberate</v>
      </c>
      <c r="D2883" s="152" t="str">
        <f>'Reported burning'!D2883</f>
        <v>Pyrome management</v>
      </c>
      <c r="E2883" s="152" t="str">
        <f>'Reported burning'!E2883</f>
        <v>Fire suppression agent</v>
      </c>
      <c r="F2883" s="152" t="str">
        <f>'Reported burning'!F2883</f>
        <v>ND</v>
      </c>
      <c r="G2883" s="152" t="str">
        <f>'Reported burning'!G2883</f>
        <v>ND</v>
      </c>
      <c r="H2883" s="152" t="str">
        <f>'Reported burning'!H2883</f>
        <v>Presence</v>
      </c>
      <c r="I2883" s="204"/>
      <c r="J2883" s="38" t="s">
        <v>2276</v>
      </c>
      <c r="K2883" s="38" t="s">
        <v>2276</v>
      </c>
      <c r="L2883" s="38" t="s">
        <v>2276</v>
      </c>
      <c r="M2883" s="38" t="s">
        <v>2276</v>
      </c>
      <c r="N2883" s="38" t="s">
        <v>2276</v>
      </c>
      <c r="O2883" s="38" t="s">
        <v>2276</v>
      </c>
      <c r="P2883" s="103" t="s">
        <v>2377</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2" t="str">
        <f>'Reported burning'!A2884</f>
        <v>306ao</v>
      </c>
      <c r="B2884" s="152" t="str">
        <f>'Reported burning'!B2884</f>
        <v>306ao.1</v>
      </c>
      <c r="C2884" s="152" t="str">
        <f>'Reported burning'!C2884</f>
        <v>Human, deliberate</v>
      </c>
      <c r="D2884" s="152" t="str">
        <f>'Reported burning'!D2884</f>
        <v>Pyrome management</v>
      </c>
      <c r="E2884" s="152" t="str">
        <f>'Reported burning'!E2884</f>
        <v>Fire suppression agent</v>
      </c>
      <c r="F2884" s="152" t="str">
        <f>'Reported burning'!F2884</f>
        <v>ND</v>
      </c>
      <c r="G2884" s="152" t="str">
        <f>'Reported burning'!G2884</f>
        <v>ND</v>
      </c>
      <c r="H2884" s="152" t="str">
        <f>'Reported burning'!H2884</f>
        <v>Presence</v>
      </c>
      <c r="I2884" s="204"/>
      <c r="J2884" s="38" t="s">
        <v>2276</v>
      </c>
      <c r="K2884" s="38" t="s">
        <v>2276</v>
      </c>
      <c r="L2884" s="38" t="s">
        <v>2276</v>
      </c>
      <c r="M2884" s="38" t="s">
        <v>2276</v>
      </c>
      <c r="N2884" s="38" t="s">
        <v>2276</v>
      </c>
      <c r="O2884" s="38" t="s">
        <v>2276</v>
      </c>
      <c r="P2884" s="103" t="s">
        <v>2377</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2" t="str">
        <f>'Reported burning'!A2885</f>
        <v>306ap</v>
      </c>
      <c r="B2885" s="152" t="str">
        <f>'Reported burning'!B2885</f>
        <v>306ap.1</v>
      </c>
      <c r="C2885" s="152" t="str">
        <f>'Reported burning'!C2885</f>
        <v>Human, deliberate</v>
      </c>
      <c r="D2885" s="152" t="str">
        <f>'Reported burning'!D2885</f>
        <v>Pyrome management</v>
      </c>
      <c r="E2885" s="152" t="str">
        <f>'Reported burning'!E2885</f>
        <v>Fire suppression agent</v>
      </c>
      <c r="F2885" s="152" t="str">
        <f>'Reported burning'!F2885</f>
        <v>ND</v>
      </c>
      <c r="G2885" s="152" t="str">
        <f>'Reported burning'!G2885</f>
        <v>ND</v>
      </c>
      <c r="H2885" s="152" t="str">
        <f>'Reported burning'!H2885</f>
        <v>Presence</v>
      </c>
      <c r="I2885" s="204"/>
      <c r="J2885" s="38"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2" t="str">
        <f>'Reported burning'!A2886</f>
        <v>306aq</v>
      </c>
      <c r="B2886" s="152" t="str">
        <f>'Reported burning'!B2886</f>
        <v>306aq.1</v>
      </c>
      <c r="C2886" s="152" t="str">
        <f>'Reported burning'!C2886</f>
        <v>Human, deliberate</v>
      </c>
      <c r="D2886" s="152" t="str">
        <f>'Reported burning'!D2886</f>
        <v>Pyrome management</v>
      </c>
      <c r="E2886" s="152" t="str">
        <f>'Reported burning'!E2886</f>
        <v>Fire suppression agent</v>
      </c>
      <c r="F2886" s="152" t="str">
        <f>'Reported burning'!F2886</f>
        <v>ND</v>
      </c>
      <c r="G2886" s="152" t="str">
        <f>'Reported burning'!G2886</f>
        <v>ND</v>
      </c>
      <c r="H2886" s="152" t="str">
        <f>'Reported burning'!H2886</f>
        <v>Presence</v>
      </c>
      <c r="I2886" s="204"/>
      <c r="J2886" s="38" t="s">
        <v>2276</v>
      </c>
      <c r="K2886" s="38" t="s">
        <v>2276</v>
      </c>
      <c r="L2886" s="38" t="s">
        <v>2276</v>
      </c>
      <c r="M2886" s="38" t="s">
        <v>2276</v>
      </c>
      <c r="N2886" s="38" t="s">
        <v>2276</v>
      </c>
      <c r="O2886" s="38" t="s">
        <v>2276</v>
      </c>
      <c r="P2886" s="103" t="s">
        <v>2377</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2" t="str">
        <f>'Reported burning'!A2887</f>
        <v>306ar</v>
      </c>
      <c r="B2887" s="152" t="str">
        <f>'Reported burning'!B2887</f>
        <v>306ar.1</v>
      </c>
      <c r="C2887" s="152" t="str">
        <f>'Reported burning'!C2887</f>
        <v>Human, deliberate</v>
      </c>
      <c r="D2887" s="152" t="str">
        <f>'Reported burning'!D2887</f>
        <v>Pyrome management</v>
      </c>
      <c r="E2887" s="152" t="str">
        <f>'Reported burning'!E2887</f>
        <v>Fire suppression agent</v>
      </c>
      <c r="F2887" s="152" t="str">
        <f>'Reported burning'!F2887</f>
        <v>ND</v>
      </c>
      <c r="G2887" s="152" t="str">
        <f>'Reported burning'!G2887</f>
        <v>ND</v>
      </c>
      <c r="H2887" s="152" t="str">
        <f>'Reported burning'!H2887</f>
        <v>Presence</v>
      </c>
      <c r="I2887" s="204"/>
      <c r="J2887" s="38" t="s">
        <v>2276</v>
      </c>
      <c r="K2887" s="38" t="s">
        <v>2276</v>
      </c>
      <c r="L2887" s="38" t="s">
        <v>2276</v>
      </c>
      <c r="M2887" s="38" t="s">
        <v>2276</v>
      </c>
      <c r="N2887" s="38" t="s">
        <v>2276</v>
      </c>
      <c r="O2887" s="38" t="s">
        <v>2276</v>
      </c>
      <c r="P2887" s="103" t="s">
        <v>2377</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2" t="str">
        <f>'Reported burning'!A2888</f>
        <v>306as</v>
      </c>
      <c r="B2888" s="152" t="str">
        <f>'Reported burning'!B2888</f>
        <v>306as.1</v>
      </c>
      <c r="C2888" s="152" t="str">
        <f>'Reported burning'!C2888</f>
        <v>Human, deliberate</v>
      </c>
      <c r="D2888" s="152" t="str">
        <f>'Reported burning'!D2888</f>
        <v>Pyrome management</v>
      </c>
      <c r="E2888" s="152" t="str">
        <f>'Reported burning'!E2888</f>
        <v>Fire suppression agent</v>
      </c>
      <c r="F2888" s="152" t="str">
        <f>'Reported burning'!F2888</f>
        <v>ND</v>
      </c>
      <c r="G2888" s="152" t="str">
        <f>'Reported burning'!G2888</f>
        <v>ND</v>
      </c>
      <c r="H2888" s="152" t="str">
        <f>'Reported burning'!H2888</f>
        <v>Presence</v>
      </c>
      <c r="I2888" s="204"/>
      <c r="J2888" s="38" t="s">
        <v>2276</v>
      </c>
      <c r="K2888" s="38" t="s">
        <v>2276</v>
      </c>
      <c r="L2888" s="38" t="s">
        <v>2276</v>
      </c>
      <c r="M2888" s="38" t="s">
        <v>2276</v>
      </c>
      <c r="N2888" s="38" t="s">
        <v>2276</v>
      </c>
      <c r="O2888" s="38" t="s">
        <v>2276</v>
      </c>
      <c r="P2888" s="103" t="s">
        <v>2376</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2" t="str">
        <f>'Reported burning'!A2889</f>
        <v>306at</v>
      </c>
      <c r="B2889" s="152" t="str">
        <f>'Reported burning'!B2889</f>
        <v>306at.1</v>
      </c>
      <c r="C2889" s="152" t="str">
        <f>'Reported burning'!C2889</f>
        <v>Human, deliberate</v>
      </c>
      <c r="D2889" s="152" t="str">
        <f>'Reported burning'!D2889</f>
        <v>Pyrome management</v>
      </c>
      <c r="E2889" s="152" t="str">
        <f>'Reported burning'!E2889</f>
        <v>Fire suppression agent</v>
      </c>
      <c r="F2889" s="152" t="str">
        <f>'Reported burning'!F2889</f>
        <v>ND</v>
      </c>
      <c r="G2889" s="152" t="str">
        <f>'Reported burning'!G2889</f>
        <v>ND</v>
      </c>
      <c r="H2889" s="152" t="str">
        <f>'Reported burning'!H2889</f>
        <v>Presence</v>
      </c>
      <c r="I2889" s="204"/>
      <c r="J2889" s="38" t="s">
        <v>2276</v>
      </c>
      <c r="K2889" s="38" t="s">
        <v>2276</v>
      </c>
      <c r="L2889" s="38" t="s">
        <v>2276</v>
      </c>
      <c r="M2889" s="38" t="s">
        <v>2276</v>
      </c>
      <c r="N2889" s="38" t="s">
        <v>2276</v>
      </c>
      <c r="O2889" s="38" t="s">
        <v>2276</v>
      </c>
      <c r="P2889" s="103" t="s">
        <v>2380</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2" t="str">
        <f>'Reported burning'!A2890</f>
        <v>306au</v>
      </c>
      <c r="B2890" s="152" t="str">
        <f>'Reported burning'!B2890</f>
        <v>306au.1</v>
      </c>
      <c r="C2890" s="152" t="str">
        <f>'Reported burning'!C2890</f>
        <v>Human, deliberate</v>
      </c>
      <c r="D2890" s="152" t="str">
        <f>'Reported burning'!D2890</f>
        <v>Pyrome management</v>
      </c>
      <c r="E2890" s="152" t="str">
        <f>'Reported burning'!E2890</f>
        <v>Fire suppression agent</v>
      </c>
      <c r="F2890" s="152" t="str">
        <f>'Reported burning'!F2890</f>
        <v>ND</v>
      </c>
      <c r="G2890" s="152" t="str">
        <f>'Reported burning'!G2890</f>
        <v>ND</v>
      </c>
      <c r="H2890" s="152" t="str">
        <f>'Reported burning'!H2890</f>
        <v>Presence</v>
      </c>
      <c r="I2890" s="204"/>
      <c r="J2890" s="38" t="s">
        <v>2276</v>
      </c>
      <c r="K2890" s="38" t="s">
        <v>2276</v>
      </c>
      <c r="L2890" s="38" t="s">
        <v>2276</v>
      </c>
      <c r="M2890" s="38" t="s">
        <v>2276</v>
      </c>
      <c r="N2890" s="38" t="s">
        <v>2276</v>
      </c>
      <c r="O2890" s="38" t="s">
        <v>2276</v>
      </c>
      <c r="P2890" s="103" t="s">
        <v>2380</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2" t="str">
        <f>'Reported burning'!A2891</f>
        <v>306av</v>
      </c>
      <c r="B2891" s="152" t="str">
        <f>'Reported burning'!B2891</f>
        <v>306av.1</v>
      </c>
      <c r="C2891" s="152" t="str">
        <f>'Reported burning'!C2891</f>
        <v>Human, deliberate</v>
      </c>
      <c r="D2891" s="152" t="str">
        <f>'Reported burning'!D2891</f>
        <v>Pyrome management</v>
      </c>
      <c r="E2891" s="152" t="str">
        <f>'Reported burning'!E2891</f>
        <v>Fire suppression agent</v>
      </c>
      <c r="F2891" s="152" t="str">
        <f>'Reported burning'!F2891</f>
        <v>ND</v>
      </c>
      <c r="G2891" s="152" t="str">
        <f>'Reported burning'!G2891</f>
        <v>ND</v>
      </c>
      <c r="H2891" s="152" t="str">
        <f>'Reported burning'!H2891</f>
        <v>Presence</v>
      </c>
      <c r="I2891" s="204"/>
      <c r="J2891" s="38" t="s">
        <v>2276</v>
      </c>
      <c r="K2891" s="38" t="s">
        <v>2276</v>
      </c>
      <c r="L2891" s="38" t="s">
        <v>2276</v>
      </c>
      <c r="M2891" s="38" t="s">
        <v>2276</v>
      </c>
      <c r="N2891" s="38" t="s">
        <v>2276</v>
      </c>
      <c r="O2891" s="38" t="s">
        <v>2276</v>
      </c>
      <c r="P2891" s="103" t="s">
        <v>2380</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2" t="str">
        <f>'Reported burning'!A2892</f>
        <v>306aw</v>
      </c>
      <c r="B2892" s="152" t="str">
        <f>'Reported burning'!B2892</f>
        <v>306aw.1</v>
      </c>
      <c r="C2892" s="152" t="str">
        <f>'Reported burning'!C2892</f>
        <v>Human, deliberate</v>
      </c>
      <c r="D2892" s="152" t="str">
        <f>'Reported burning'!D2892</f>
        <v>Pyrome management</v>
      </c>
      <c r="E2892" s="152" t="str">
        <f>'Reported burning'!E2892</f>
        <v>Fire suppression agent</v>
      </c>
      <c r="F2892" s="152" t="str">
        <f>'Reported burning'!F2892</f>
        <v>ND</v>
      </c>
      <c r="G2892" s="152" t="str">
        <f>'Reported burning'!G2892</f>
        <v>ND</v>
      </c>
      <c r="H2892" s="152" t="str">
        <f>'Reported burning'!H2892</f>
        <v>Presence</v>
      </c>
      <c r="I2892" s="204"/>
      <c r="J2892" s="38" t="s">
        <v>2276</v>
      </c>
      <c r="K2892" s="38" t="s">
        <v>2276</v>
      </c>
      <c r="L2892" s="38" t="s">
        <v>2276</v>
      </c>
      <c r="M2892" s="38" t="s">
        <v>2276</v>
      </c>
      <c r="N2892" s="38" t="s">
        <v>2276</v>
      </c>
      <c r="O2892" s="38" t="s">
        <v>2276</v>
      </c>
      <c r="P2892" s="103" t="s">
        <v>2377</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52" t="str">
        <f>'Reported burning'!A2893</f>
        <v>306ax</v>
      </c>
      <c r="B2893" s="152" t="str">
        <f>'Reported burning'!B2893</f>
        <v>306ax.1</v>
      </c>
      <c r="C2893" s="152" t="str">
        <f>'Reported burning'!C2893</f>
        <v>Human, deliberate</v>
      </c>
      <c r="D2893" s="152" t="str">
        <f>'Reported burning'!D2893</f>
        <v>Pyrome management</v>
      </c>
      <c r="E2893" s="152" t="str">
        <f>'Reported burning'!E2893</f>
        <v>Fire suppression agent</v>
      </c>
      <c r="F2893" s="152" t="str">
        <f>'Reported burning'!F2893</f>
        <v>ND</v>
      </c>
      <c r="G2893" s="152" t="str">
        <f>'Reported burning'!G2893</f>
        <v>ND</v>
      </c>
      <c r="H2893" s="152" t="str">
        <f>'Reported burning'!H2893</f>
        <v>Presence</v>
      </c>
      <c r="I2893" s="204"/>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204"/>
      <c r="AB2893" s="204"/>
    </row>
    <row r="2894" spans="1:28" ht="31" customHeight="1">
      <c r="A2894" s="152" t="str">
        <f>'Reported burning'!A2894</f>
        <v>306ay</v>
      </c>
      <c r="B2894" s="152" t="str">
        <f>'Reported burning'!B2894</f>
        <v>306ay.1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2376</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306az</v>
      </c>
      <c r="B2895" s="152" t="str">
        <f>'Reported burning'!B2895</f>
        <v>306az.1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Absence</v>
      </c>
      <c r="I2895" s="204"/>
      <c r="J2895" s="38" t="s">
        <v>2276</v>
      </c>
      <c r="K2895" s="38" t="s">
        <v>2276</v>
      </c>
      <c r="L2895" s="38" t="s">
        <v>2276</v>
      </c>
      <c r="M2895" s="38" t="s">
        <v>2276</v>
      </c>
      <c r="N2895" s="38" t="s">
        <v>2276</v>
      </c>
      <c r="O2895" s="38" t="s">
        <v>2276</v>
      </c>
      <c r="P2895" s="103">
        <v>0</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306ba</v>
      </c>
      <c r="B2896" s="152" t="str">
        <f>'Reported burning'!B2896</f>
        <v>306ba.1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2379</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306bb</v>
      </c>
      <c r="B2897" s="152" t="str">
        <f>'Reported burning'!B2897</f>
        <v>306bb.1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2377</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306bc</v>
      </c>
      <c r="B2898" s="152" t="str">
        <f>'Reported burning'!B2898</f>
        <v>306bc.1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2377</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306bd</v>
      </c>
      <c r="B2899" s="152" t="str">
        <f>'Reported burning'!B2899</f>
        <v>306bd.1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306be</v>
      </c>
      <c r="B2900" s="152" t="str">
        <f>'Reported burning'!B2900</f>
        <v>306be.1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2376</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306bf</v>
      </c>
      <c r="B2901" s="152" t="str">
        <f>'Reported burning'!B2901</f>
        <v>306bf.1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2378</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306bg</v>
      </c>
      <c r="B2902" s="152" t="str">
        <f>'Reported burning'!B2902</f>
        <v>306bg.1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2376</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306ab</v>
      </c>
      <c r="B2903" s="152" t="str">
        <f>'Reported burning'!B2903</f>
        <v>306ab.1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2378</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306bi</v>
      </c>
      <c r="B2904" s="152" t="str">
        <f>'Reported burning'!B2904</f>
        <v>306bi.1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2379</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306bj</v>
      </c>
      <c r="B2905" s="152" t="str">
        <f>'Reported burning'!B2905</f>
        <v>306bj.1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Absence</v>
      </c>
      <c r="I2905" s="204"/>
      <c r="J2905" s="38" t="s">
        <v>2276</v>
      </c>
      <c r="K2905" s="38" t="s">
        <v>2276</v>
      </c>
      <c r="L2905" s="38" t="s">
        <v>2276</v>
      </c>
      <c r="M2905" s="38" t="s">
        <v>2276</v>
      </c>
      <c r="N2905" s="38" t="s">
        <v>2276</v>
      </c>
      <c r="O2905" s="38" t="s">
        <v>2276</v>
      </c>
      <c r="P2905" s="103">
        <v>0</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306bk</v>
      </c>
      <c r="B2906" s="152" t="str">
        <f>'Reported burning'!B2906</f>
        <v>306bk.1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2376</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306bl</v>
      </c>
      <c r="B2907" s="152" t="str">
        <f>'Reported burning'!B2907</f>
        <v>306bl.1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2376</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306bm</v>
      </c>
      <c r="B2908" s="152" t="str">
        <f>'Reported burning'!B2908</f>
        <v>306bm.1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2376</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306bn</v>
      </c>
      <c r="B2909" s="152" t="str">
        <f>'Reported burning'!B2909</f>
        <v>306bn.1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2376</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306bo</v>
      </c>
      <c r="B2910" s="152" t="str">
        <f>'Reported burning'!B2910</f>
        <v>306bo.1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Absence</v>
      </c>
      <c r="I2910" s="204"/>
      <c r="J2910" s="38" t="s">
        <v>2276</v>
      </c>
      <c r="K2910" s="38" t="s">
        <v>2276</v>
      </c>
      <c r="L2910" s="38" t="s">
        <v>2276</v>
      </c>
      <c r="M2910" s="38" t="s">
        <v>2276</v>
      </c>
      <c r="N2910" s="38" t="s">
        <v>2276</v>
      </c>
      <c r="O2910" s="38" t="s">
        <v>2276</v>
      </c>
      <c r="P2910" s="103">
        <v>0</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223" t="str">
        <f>'Reported burning'!A2911</f>
        <v>306bp</v>
      </c>
      <c r="B2911" s="223" t="str">
        <f>'Reported burning'!B2911</f>
        <v>306bp.1</v>
      </c>
      <c r="C2911" s="223" t="str">
        <f>'Reported burning'!C2911</f>
        <v>Human, deliberate</v>
      </c>
      <c r="D2911" s="223" t="str">
        <f>'Reported burning'!D2911</f>
        <v>Pyrome management</v>
      </c>
      <c r="E2911" s="223" t="str">
        <f>'Reported burning'!E2911</f>
        <v>Fire suppression agent</v>
      </c>
      <c r="F2911" s="223" t="str">
        <f>'Reported burning'!F2911</f>
        <v>ND</v>
      </c>
      <c r="G2911" s="223" t="str">
        <f>'Reported burning'!G2911</f>
        <v>ND</v>
      </c>
      <c r="H2911" s="223" t="str">
        <f>'Reported burning'!H2911</f>
        <v>Presence</v>
      </c>
      <c r="I2911" s="38"/>
      <c r="J2911" s="38" t="s">
        <v>2276</v>
      </c>
      <c r="K2911" s="38" t="s">
        <v>2276</v>
      </c>
      <c r="L2911" s="38" t="s">
        <v>2276</v>
      </c>
      <c r="M2911" s="38" t="s">
        <v>2276</v>
      </c>
      <c r="N2911" s="38" t="s">
        <v>2276</v>
      </c>
      <c r="O2911" s="38" t="s">
        <v>2276</v>
      </c>
      <c r="P2911" s="111" t="s">
        <v>2379</v>
      </c>
      <c r="Q2911" s="38" t="s">
        <v>2276</v>
      </c>
      <c r="R2911" s="38" t="s">
        <v>2276</v>
      </c>
      <c r="S2911" s="38" t="s">
        <v>2276</v>
      </c>
      <c r="T2911" s="38" t="s">
        <v>2276</v>
      </c>
      <c r="U2911" s="38" t="s">
        <v>2276</v>
      </c>
      <c r="V2911" s="38" t="s">
        <v>2276</v>
      </c>
      <c r="W2911" s="38" t="s">
        <v>2276</v>
      </c>
      <c r="X2911" s="38" t="s">
        <v>2276</v>
      </c>
      <c r="Y2911" s="38" t="s">
        <v>2276</v>
      </c>
      <c r="Z2911" s="38" t="s">
        <v>2276</v>
      </c>
      <c r="AA2911" s="38"/>
      <c r="AB2911" s="38"/>
    </row>
    <row r="2912" spans="1:28" ht="31" customHeight="1">
      <c r="A2912" s="152" t="str">
        <f>'Reported burning'!A2912</f>
        <v>308a</v>
      </c>
      <c r="B2912" s="152" t="str">
        <f>'Reported burning'!B2912</f>
        <v>308a.1</v>
      </c>
      <c r="C2912" s="152" t="str">
        <f>'Reported burning'!C2912</f>
        <v>Human, deliberate</v>
      </c>
      <c r="D2912" s="152" t="str">
        <f>'Reported burning'!D2912</f>
        <v>Forest clearance</v>
      </c>
      <c r="E2912" s="152" t="str">
        <f>'Reported burning'!E2912</f>
        <v>Cropping, Swidden</v>
      </c>
      <c r="F2912" s="152" t="str">
        <f>'Reported burning'!F2912</f>
        <v>Forest</v>
      </c>
      <c r="G2912" s="152" t="str">
        <f>'Reported burning'!G2912</f>
        <v>Forest</v>
      </c>
      <c r="H2912" s="152" t="str">
        <f>'Reported burning'!H2912</f>
        <v>Presence</v>
      </c>
      <c r="I2912" s="204"/>
      <c r="J2912" s="204" t="s">
        <v>2276</v>
      </c>
      <c r="K2912" s="204" t="s">
        <v>2276</v>
      </c>
      <c r="L2912" s="204" t="s">
        <v>2276</v>
      </c>
      <c r="M2912" s="204" t="s">
        <v>2276</v>
      </c>
      <c r="N2912" s="204" t="s">
        <v>2276</v>
      </c>
      <c r="O2912" s="204" t="s">
        <v>2276</v>
      </c>
      <c r="P2912" s="204" t="s">
        <v>2276</v>
      </c>
      <c r="Q2912" s="21" t="s">
        <v>2375</v>
      </c>
      <c r="R2912" s="204" t="s">
        <v>2276</v>
      </c>
      <c r="S2912" s="204" t="s">
        <v>2276</v>
      </c>
      <c r="T2912" s="204" t="s">
        <v>2276</v>
      </c>
      <c r="U2912" s="204" t="s">
        <v>2276</v>
      </c>
      <c r="V2912" s="204" t="s">
        <v>2276</v>
      </c>
      <c r="W2912" s="204" t="s">
        <v>2276</v>
      </c>
      <c r="X2912" s="204" t="s">
        <v>68</v>
      </c>
      <c r="Y2912" s="204" t="s">
        <v>35</v>
      </c>
      <c r="Z2912" s="204" t="s">
        <v>2276</v>
      </c>
      <c r="AA2912" s="204"/>
      <c r="AB2912" s="204"/>
    </row>
    <row r="2913" spans="1:28" ht="31" customHeight="1">
      <c r="A2913" s="152" t="str">
        <f>'Reported burning'!A2913</f>
        <v>308a</v>
      </c>
      <c r="B2913" s="152" t="str">
        <f>'Reported burning'!B2913</f>
        <v>308a.2</v>
      </c>
      <c r="C2913" s="152" t="str">
        <f>'Reported burning'!C2913</f>
        <v>Human, deliberate</v>
      </c>
      <c r="D2913" s="152" t="str">
        <f>'Reported burning'!D2913</f>
        <v>Crop field preparation</v>
      </c>
      <c r="E2913" s="152" t="str">
        <f>'Reported burning'!E2913</f>
        <v>Cropping, Swidden</v>
      </c>
      <c r="F2913" s="152" t="str">
        <f>'Reported burning'!F2913</f>
        <v>Secondary vegetation</v>
      </c>
      <c r="G2913" s="152" t="str">
        <f>'Reported burning'!G2913</f>
        <v>Secondary vegetation</v>
      </c>
      <c r="H2913" s="152" t="str">
        <f>'Reported burning'!H2913</f>
        <v>Presence</v>
      </c>
      <c r="I2913" s="204"/>
      <c r="J2913" s="204" t="s">
        <v>2276</v>
      </c>
      <c r="K2913" s="204" t="s">
        <v>2276</v>
      </c>
      <c r="L2913" s="204" t="s">
        <v>2276</v>
      </c>
      <c r="M2913" s="204" t="s">
        <v>2276</v>
      </c>
      <c r="N2913" s="204" t="s">
        <v>2276</v>
      </c>
      <c r="O2913" s="204" t="s">
        <v>2276</v>
      </c>
      <c r="P2913" s="204" t="s">
        <v>2276</v>
      </c>
      <c r="Q2913" s="21" t="s">
        <v>2375</v>
      </c>
      <c r="R2913" s="204" t="s">
        <v>2276</v>
      </c>
      <c r="S2913" s="204" t="s">
        <v>2276</v>
      </c>
      <c r="T2913" s="204" t="s">
        <v>2276</v>
      </c>
      <c r="U2913" s="204" t="s">
        <v>2276</v>
      </c>
      <c r="V2913" s="204" t="s">
        <v>2276</v>
      </c>
      <c r="W2913" s="21" t="s">
        <v>2403</v>
      </c>
      <c r="X2913" s="204" t="s">
        <v>425</v>
      </c>
      <c r="Y2913" s="204" t="s">
        <v>399</v>
      </c>
      <c r="Z2913" s="204" t="s">
        <v>2276</v>
      </c>
      <c r="AA2913" s="204"/>
      <c r="AB2913" s="204"/>
    </row>
    <row r="2914" spans="1:28" ht="49" customHeight="1">
      <c r="A2914" s="152" t="str">
        <f>'Reported burning'!A2914</f>
        <v>308a</v>
      </c>
      <c r="B2914" s="152" t="str">
        <f>'Reported burning'!B2914</f>
        <v>308a.3</v>
      </c>
      <c r="C2914" s="152" t="str">
        <f>'Reported burning'!C2914</f>
        <v>Human, deliberate</v>
      </c>
      <c r="D2914" s="152" t="str">
        <f>'Reported burning'!D2914</f>
        <v>Forest clearance</v>
      </c>
      <c r="E2914" s="152" t="str">
        <f>'Reported burning'!E2914</f>
        <v>Mixed cropping-livestock small holder, Subsistence-oriented</v>
      </c>
      <c r="F2914" s="152" t="str">
        <f>'Reported burning'!F2914</f>
        <v>Forest</v>
      </c>
      <c r="G2914" s="152" t="str">
        <f>'Reported burning'!G2914</f>
        <v>Forest</v>
      </c>
      <c r="H2914" s="152" t="str">
        <f>'Reported burning'!H2914</f>
        <v>Presence</v>
      </c>
      <c r="I2914" s="204"/>
      <c r="J2914" s="204" t="s">
        <v>2276</v>
      </c>
      <c r="K2914" s="204" t="s">
        <v>2276</v>
      </c>
      <c r="L2914" s="204" t="s">
        <v>2276</v>
      </c>
      <c r="M2914" s="204" t="s">
        <v>2276</v>
      </c>
      <c r="N2914" s="204" t="s">
        <v>2276</v>
      </c>
      <c r="O2914" s="204" t="s">
        <v>2276</v>
      </c>
      <c r="P2914" s="204" t="s">
        <v>2276</v>
      </c>
      <c r="Q2914" s="21" t="s">
        <v>2373</v>
      </c>
      <c r="R2914" s="204" t="s">
        <v>2276</v>
      </c>
      <c r="S2914" s="204" t="s">
        <v>2276</v>
      </c>
      <c r="T2914" s="204" t="s">
        <v>2276</v>
      </c>
      <c r="U2914" s="204" t="s">
        <v>2276</v>
      </c>
      <c r="V2914" s="204" t="s">
        <v>2276</v>
      </c>
      <c r="W2914" s="204" t="s">
        <v>2276</v>
      </c>
      <c r="X2914" s="204" t="s">
        <v>68</v>
      </c>
      <c r="Y2914" s="204" t="s">
        <v>35</v>
      </c>
      <c r="Z2914" s="204" t="s">
        <v>2276</v>
      </c>
      <c r="AA2914" s="204"/>
      <c r="AB2914" s="204"/>
    </row>
    <row r="2915" spans="1:28" s="203" customFormat="1" ht="49" customHeight="1">
      <c r="A2915" s="152" t="str">
        <f>'Reported burning'!A2915</f>
        <v>308a</v>
      </c>
      <c r="B2915" s="152" t="str">
        <f>'Reported burning'!B2915</f>
        <v>308a.4</v>
      </c>
      <c r="C2915" s="152" t="str">
        <f>'Reported burning'!C2915</f>
        <v>Human, deliberate</v>
      </c>
      <c r="D2915" s="152" t="str">
        <f>'Reported burning'!D2915</f>
        <v>Pasture renewal</v>
      </c>
      <c r="E2915" s="152" t="str">
        <f>'Reported burning'!E2915</f>
        <v>Mixed cropping-livestock small holder, Subsistence-oriented</v>
      </c>
      <c r="F2915" s="152" t="str">
        <f>'Reported burning'!F2915</f>
        <v>Pasture</v>
      </c>
      <c r="G2915" s="152" t="str">
        <f>'Reported burning'!G2915</f>
        <v>Pasture</v>
      </c>
      <c r="H2915" s="152" t="str">
        <f>'Reported burning'!H2915</f>
        <v>Presence</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1" t="s">
        <v>2375</v>
      </c>
      <c r="X2915" s="204" t="s">
        <v>2276</v>
      </c>
      <c r="Y2915" s="204" t="s">
        <v>2276</v>
      </c>
      <c r="Z2915" s="204" t="s">
        <v>2276</v>
      </c>
      <c r="AA2915" s="204"/>
      <c r="AB2915" s="204"/>
    </row>
    <row r="2916" spans="1:28" ht="49" customHeight="1">
      <c r="A2916" s="152" t="str">
        <f>'Reported burning'!A2916</f>
        <v>308a</v>
      </c>
      <c r="B2916" s="152" t="str">
        <f>'Reported burning'!B2916</f>
        <v>308a.5</v>
      </c>
      <c r="C2916" s="152" t="str">
        <f>'Reported burning'!C2916</f>
        <v>Human, escaped</v>
      </c>
      <c r="D2916" s="152" t="str">
        <f>'Reported burning'!D2916</f>
        <v>Pasture renewal</v>
      </c>
      <c r="E2916" s="152" t="str">
        <f>'Reported burning'!E2916</f>
        <v>Mixed cropping-livestock small holder, Subsistence-oriented</v>
      </c>
      <c r="F2916" s="152" t="str">
        <f>'Reported burning'!F2916</f>
        <v>Pasture</v>
      </c>
      <c r="G2916" s="152" t="str">
        <f>'Reported burning'!G2916</f>
        <v>Forest</v>
      </c>
      <c r="H2916" s="152" t="str">
        <f>'Reported burning'!H2916</f>
        <v>Presence</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c r="AB2916" s="204"/>
    </row>
    <row r="2917" spans="1:28" ht="49" customHeight="1">
      <c r="A2917" s="152" t="str">
        <f>'Reported burning'!A2917</f>
        <v>308a</v>
      </c>
      <c r="B2917" s="152" t="str">
        <f>'Reported burning'!B2917</f>
        <v>308a.6</v>
      </c>
      <c r="C2917" s="152" t="str">
        <f>'Reported burning'!C2917</f>
        <v>Human, deliberate</v>
      </c>
      <c r="D2917" s="152" t="str">
        <f>'Reported burning'!D2917</f>
        <v>Forest clearance</v>
      </c>
      <c r="E2917" s="152" t="str">
        <f>'Reported burning'!E2917</f>
        <v>Cattle, Extensive</v>
      </c>
      <c r="F2917" s="152" t="str">
        <f>'Reported burning'!F2917</f>
        <v>Forest</v>
      </c>
      <c r="G2917" s="152" t="str">
        <f>'Reported burning'!G2917</f>
        <v>Forest</v>
      </c>
      <c r="H2917" s="152" t="str">
        <f>'Reported burning'!H2917</f>
        <v>Presence</v>
      </c>
      <c r="I2917" s="204"/>
      <c r="J2917" s="204" t="s">
        <v>2276</v>
      </c>
      <c r="K2917" s="204" t="s">
        <v>2276</v>
      </c>
      <c r="L2917" s="204" t="s">
        <v>2276</v>
      </c>
      <c r="M2917" s="204" t="s">
        <v>2276</v>
      </c>
      <c r="N2917" s="21" t="s">
        <v>2385</v>
      </c>
      <c r="O2917" s="204" t="s">
        <v>2276</v>
      </c>
      <c r="P2917" s="204" t="s">
        <v>2276</v>
      </c>
      <c r="Q2917" s="204" t="s">
        <v>2276</v>
      </c>
      <c r="R2917" s="204" t="s">
        <v>2276</v>
      </c>
      <c r="S2917" s="204" t="s">
        <v>2276</v>
      </c>
      <c r="T2917" s="204" t="s">
        <v>2276</v>
      </c>
      <c r="U2917" s="204" t="s">
        <v>2276</v>
      </c>
      <c r="V2917" s="204" t="s">
        <v>2276</v>
      </c>
      <c r="W2917" s="204" t="s">
        <v>2276</v>
      </c>
      <c r="X2917" s="204" t="s">
        <v>68</v>
      </c>
      <c r="Y2917" s="204" t="s">
        <v>35</v>
      </c>
      <c r="Z2917" s="204" t="s">
        <v>2276</v>
      </c>
      <c r="AA2917" s="204"/>
      <c r="AB2917" s="204"/>
    </row>
    <row r="2918" spans="1:28" ht="49" customHeight="1">
      <c r="A2918" s="152" t="str">
        <f>'Reported burning'!A2918</f>
        <v>308a</v>
      </c>
      <c r="B2918" s="152" t="str">
        <f>'Reported burning'!B2918</f>
        <v>308a.7</v>
      </c>
      <c r="C2918" s="152" t="str">
        <f>'Reported burning'!C2918</f>
        <v>Human, deliberate</v>
      </c>
      <c r="D2918" s="152" t="str">
        <f>'Reported burning'!D2918</f>
        <v>Pasture renewal</v>
      </c>
      <c r="E2918" s="152" t="str">
        <f>'Reported burning'!E2918</f>
        <v>Cattle, Extensive</v>
      </c>
      <c r="F2918" s="152" t="str">
        <f>'Reported burning'!F2918</f>
        <v>Pasture</v>
      </c>
      <c r="G2918" s="152" t="str">
        <f>'Reported burning'!G2918</f>
        <v>Pasture</v>
      </c>
      <c r="H2918" s="152" t="str">
        <f>'Reported burning'!H2918</f>
        <v>Presence</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1" t="s">
        <v>2375</v>
      </c>
      <c r="X2918" s="204" t="s">
        <v>2276</v>
      </c>
      <c r="Y2918" s="204" t="s">
        <v>2276</v>
      </c>
      <c r="Z2918" s="204" t="s">
        <v>2276</v>
      </c>
      <c r="AA2918" s="204"/>
      <c r="AB2918" s="204"/>
    </row>
    <row r="2919" spans="1:28" ht="49" customHeight="1">
      <c r="A2919" s="152" t="str">
        <f>'Reported burning'!A2919</f>
        <v>308a</v>
      </c>
      <c r="B2919" s="152" t="str">
        <f>'Reported burning'!B2919</f>
        <v>308a.8</v>
      </c>
      <c r="C2919" s="152" t="str">
        <f>'Reported burning'!C2919</f>
        <v>Human, escaped</v>
      </c>
      <c r="D2919" s="152" t="str">
        <f>'Reported burning'!D2919</f>
        <v>Pasture renewal</v>
      </c>
      <c r="E2919" s="152" t="str">
        <f>'Reported burning'!E2919</f>
        <v>Cattle, Extensive</v>
      </c>
      <c r="F2919" s="152" t="str">
        <f>'Reported burning'!F2919</f>
        <v>Pasture</v>
      </c>
      <c r="G2919" s="152" t="str">
        <f>'Reported burning'!G2919</f>
        <v>Forest</v>
      </c>
      <c r="H2919" s="152" t="str">
        <f>'Reported burning'!H2919</f>
        <v>Presence</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c r="AB2919" s="204"/>
    </row>
    <row r="2920" spans="1:28" ht="49" customHeight="1">
      <c r="A2920" s="156" t="str">
        <f>'Reported burning'!A2920</f>
        <v>309a</v>
      </c>
      <c r="B2920" s="156" t="str">
        <f>'Reported burning'!B2920</f>
        <v>309a.1</v>
      </c>
      <c r="C2920" s="156" t="str">
        <f>'Reported burning'!C2920</f>
        <v>Human, deliberate</v>
      </c>
      <c r="D2920" s="156" t="str">
        <f>'Reported burning'!D2920</f>
        <v>Pasture renewal</v>
      </c>
      <c r="E2920" s="156" t="str">
        <f>'Reported burning'!E2920</f>
        <v>Cattle, Extensive</v>
      </c>
      <c r="F2920" s="156" t="str">
        <f>'Reported burning'!F2920</f>
        <v>Grassland</v>
      </c>
      <c r="G2920" s="156" t="str">
        <f>'Reported burning'!G2920</f>
        <v>Grassland</v>
      </c>
      <c r="H2920" s="156" t="str">
        <f>'Reported burning'!H2920</f>
        <v>Presence</v>
      </c>
      <c r="I2920" s="5"/>
      <c r="J2920" s="21"/>
      <c r="K2920" s="103"/>
      <c r="L2920" s="21"/>
      <c r="M2920" s="21"/>
      <c r="N2920" s="21"/>
      <c r="O2920" s="21"/>
      <c r="P2920" s="21" t="s">
        <v>2376</v>
      </c>
      <c r="Q2920" s="21"/>
      <c r="R2920" s="21" t="s">
        <v>2376</v>
      </c>
      <c r="S2920" s="21"/>
      <c r="T2920" s="21"/>
      <c r="U2920" s="21"/>
      <c r="V2920" s="21"/>
      <c r="W2920" s="21" t="s">
        <v>2401</v>
      </c>
      <c r="X2920" s="204" t="s">
        <v>2276</v>
      </c>
      <c r="Y2920" s="204" t="s">
        <v>2276</v>
      </c>
      <c r="Z2920" s="204" t="s">
        <v>2276</v>
      </c>
      <c r="AA2920" s="4" t="s">
        <v>7893</v>
      </c>
      <c r="AB2920" s="204" t="s">
        <v>7895</v>
      </c>
    </row>
    <row r="2921" spans="1:28" ht="49" customHeight="1">
      <c r="A2921" s="156" t="str">
        <f>'Reported burning'!A2921</f>
        <v>309a</v>
      </c>
      <c r="B2921" s="156" t="str">
        <f>'Reported burning'!B2921</f>
        <v>309a.2</v>
      </c>
      <c r="C2921" s="156" t="str">
        <f>'Reported burning'!C2921</f>
        <v>Human, deliberate</v>
      </c>
      <c r="D2921" s="156" t="str">
        <f>'Reported burning'!D2921</f>
        <v>Pasture renewal</v>
      </c>
      <c r="E2921" s="156" t="str">
        <f>'Reported burning'!E2921</f>
        <v>Pastoralism, Migratory</v>
      </c>
      <c r="F2921" s="156" t="str">
        <f>'Reported burning'!F2921</f>
        <v>Grassland</v>
      </c>
      <c r="G2921" s="156" t="str">
        <f>'Reported burning'!G2921</f>
        <v>Grassland</v>
      </c>
      <c r="H2921" s="156" t="str">
        <f>'Reported burning'!H2921</f>
        <v>Presence</v>
      </c>
      <c r="I2921" s="5"/>
      <c r="J2921" s="21"/>
      <c r="K2921" s="103"/>
      <c r="L2921" s="21"/>
      <c r="M2921" s="21"/>
      <c r="N2921" s="21"/>
      <c r="O2921" s="21"/>
      <c r="P2921" s="21" t="s">
        <v>2376</v>
      </c>
      <c r="Q2921" s="21"/>
      <c r="R2921" s="21" t="s">
        <v>2374</v>
      </c>
      <c r="S2921" s="21"/>
      <c r="T2921" s="21"/>
      <c r="U2921" s="21"/>
      <c r="V2921" s="21"/>
      <c r="W2921" s="21" t="s">
        <v>2402</v>
      </c>
      <c r="X2921" s="204" t="s">
        <v>2276</v>
      </c>
      <c r="Y2921" s="204" t="s">
        <v>2276</v>
      </c>
      <c r="Z2921" s="204" t="s">
        <v>2276</v>
      </c>
      <c r="AA2921" s="4" t="s">
        <v>7894</v>
      </c>
      <c r="AB2921" s="204" t="s">
        <v>7895</v>
      </c>
    </row>
    <row r="2922" spans="1:28" ht="63.5" customHeight="1">
      <c r="A2922" s="156" t="str">
        <f>'Reported burning'!A2922</f>
        <v>310a</v>
      </c>
      <c r="B2922" s="156" t="str">
        <f>'Reported burning'!B2922</f>
        <v>310a.1</v>
      </c>
      <c r="C2922" s="156" t="str">
        <f>'Reported burning'!C2922</f>
        <v>Human, deliberate</v>
      </c>
      <c r="D2922" s="156" t="str">
        <f>'Reported burning'!D2922</f>
        <v>Conservation</v>
      </c>
      <c r="E2922" s="156" t="str">
        <f>'Reported burning'!E2922</f>
        <v>Biodiversity conservation</v>
      </c>
      <c r="F2922" s="156" t="str">
        <f>'Reported burning'!F2922</f>
        <v>ND</v>
      </c>
      <c r="G2922" s="156" t="str">
        <f>'Reported burning'!G2922</f>
        <v>ND</v>
      </c>
      <c r="H2922" s="156" t="str">
        <f>'Reported burning'!H2922</f>
        <v>Absence</v>
      </c>
      <c r="I2922" s="5"/>
      <c r="J2922" s="21" t="s">
        <v>2364</v>
      </c>
      <c r="K2922" s="21" t="s">
        <v>2364</v>
      </c>
      <c r="L2922" s="21" t="s">
        <v>2364</v>
      </c>
      <c r="M2922" s="21" t="s">
        <v>2364</v>
      </c>
      <c r="N2922" s="21" t="s">
        <v>2364</v>
      </c>
      <c r="O2922" s="21" t="s">
        <v>2364</v>
      </c>
      <c r="P2922" s="21" t="s">
        <v>2364</v>
      </c>
      <c r="Q2922" s="21" t="s">
        <v>2364</v>
      </c>
      <c r="R2922" s="21" t="s">
        <v>2364</v>
      </c>
      <c r="S2922" s="21" t="s">
        <v>2364</v>
      </c>
      <c r="T2922" s="21" t="s">
        <v>2364</v>
      </c>
      <c r="U2922" s="21" t="s">
        <v>2364</v>
      </c>
      <c r="V2922" s="21" t="s">
        <v>2364</v>
      </c>
      <c r="W2922" s="204" t="s">
        <v>2276</v>
      </c>
      <c r="X2922" s="204" t="s">
        <v>2276</v>
      </c>
      <c r="Y2922" s="204" t="s">
        <v>2276</v>
      </c>
      <c r="Z2922" s="204" t="s">
        <v>2276</v>
      </c>
      <c r="AA2922" s="204"/>
      <c r="AB2922" s="204"/>
    </row>
    <row r="2923" spans="1:28" ht="63.5" customHeight="1">
      <c r="A2923" s="156" t="str">
        <f>'Reported burning'!A2923</f>
        <v>310a</v>
      </c>
      <c r="B2923" s="156" t="str">
        <f>'Reported burning'!B2923</f>
        <v>310a.2</v>
      </c>
      <c r="C2923" s="156" t="str">
        <f>'Reported burning'!C2923</f>
        <v>Human, deliberate</v>
      </c>
      <c r="D2923" s="156" t="str">
        <f>'Reported burning'!D2923</f>
        <v>Pasture renewal</v>
      </c>
      <c r="E2923" s="156" t="str">
        <f>'Reported burning'!E2923</f>
        <v>Cattle, Extensive</v>
      </c>
      <c r="F2923" s="156" t="str">
        <f>'Reported burning'!F2923</f>
        <v>ND</v>
      </c>
      <c r="G2923" s="156" t="str">
        <f>'Reported burning'!G2923</f>
        <v>ND</v>
      </c>
      <c r="H2923" s="156" t="str">
        <f>'Reported burning'!H2923</f>
        <v>Absence</v>
      </c>
      <c r="I2923" s="5"/>
      <c r="J2923" s="21" t="s">
        <v>2364</v>
      </c>
      <c r="K2923" s="21" t="s">
        <v>2364</v>
      </c>
      <c r="L2923" s="21" t="s">
        <v>2364</v>
      </c>
      <c r="M2923" s="21" t="s">
        <v>2364</v>
      </c>
      <c r="N2923" s="21" t="s">
        <v>2364</v>
      </c>
      <c r="O2923" s="21" t="s">
        <v>2364</v>
      </c>
      <c r="P2923" s="21" t="s">
        <v>2364</v>
      </c>
      <c r="Q2923" s="21" t="s">
        <v>2364</v>
      </c>
      <c r="R2923" s="21" t="s">
        <v>2364</v>
      </c>
      <c r="S2923" s="21" t="s">
        <v>2364</v>
      </c>
      <c r="T2923" s="21" t="s">
        <v>2364</v>
      </c>
      <c r="U2923" s="21" t="s">
        <v>2364</v>
      </c>
      <c r="V2923" s="21" t="s">
        <v>2364</v>
      </c>
      <c r="W2923" s="204" t="s">
        <v>2276</v>
      </c>
      <c r="X2923" s="204" t="s">
        <v>2276</v>
      </c>
      <c r="Y2923" s="204" t="s">
        <v>2276</v>
      </c>
      <c r="Z2923" s="204" t="s">
        <v>2276</v>
      </c>
      <c r="AA2923" s="204"/>
      <c r="AB2923" s="204"/>
    </row>
    <row r="2924" spans="1:28" ht="28" customHeight="1">
      <c r="A2924" s="156" t="str">
        <f>'Reported burning'!A2924</f>
        <v>310b</v>
      </c>
      <c r="B2924" s="156" t="str">
        <f>'Reported burning'!B2924</f>
        <v>310b.1</v>
      </c>
      <c r="C2924" s="156" t="str">
        <f>'Reported burning'!C2924</f>
        <v>Unknown</v>
      </c>
      <c r="D2924" s="156" t="str">
        <f>'Reported burning'!D2924</f>
        <v>ND</v>
      </c>
      <c r="E2924" s="156" t="str">
        <f>'Reported burning'!E2924</f>
        <v>ND</v>
      </c>
      <c r="F2924" s="156" t="str">
        <f>'Reported burning'!F2924</f>
        <v>ND</v>
      </c>
      <c r="G2924" s="156" t="str">
        <f>'Reported burning'!G2924</f>
        <v>Shrubland (Mixed forest &amp; grassland)</v>
      </c>
      <c r="H2924" s="156" t="str">
        <f>'Reported burning'!H2924</f>
        <v>Presence</v>
      </c>
      <c r="I2924" s="5"/>
      <c r="J2924" s="204" t="s">
        <v>2276</v>
      </c>
      <c r="K2924" s="204" t="s">
        <v>2276</v>
      </c>
      <c r="L2924" s="204" t="s">
        <v>2276</v>
      </c>
      <c r="M2924" s="204" t="s">
        <v>2276</v>
      </c>
      <c r="N2924" s="21" t="s">
        <v>2382</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c r="AB2924" s="204"/>
    </row>
    <row r="2925" spans="1:28" ht="28" customHeight="1">
      <c r="A2925" s="156" t="str">
        <f>'Reported burning'!A2925</f>
        <v>311a</v>
      </c>
      <c r="B2925" s="156" t="str">
        <f>'Reported burning'!B2925</f>
        <v>311a.1</v>
      </c>
      <c r="C2925" s="156" t="str">
        <f>'Reported burning'!C2925</f>
        <v>Human, deliberate</v>
      </c>
      <c r="D2925" s="156" t="str">
        <f>'Reported burning'!D2925</f>
        <v>Conservation</v>
      </c>
      <c r="E2925" s="156" t="str">
        <f>'Reported burning'!E2925</f>
        <v>Biodiversity conservation</v>
      </c>
      <c r="F2925" s="156" t="str">
        <f>'Reported burning'!F2925</f>
        <v>Shrubland (Mixed forest &amp; grassland)</v>
      </c>
      <c r="G2925" s="156" t="str">
        <f>'Reported burning'!G2925</f>
        <v>Shrubland (Mixed forest &amp; grassland)</v>
      </c>
      <c r="H2925" s="156" t="str">
        <f>'Reported burning'!H2925</f>
        <v>Presence</v>
      </c>
      <c r="I2925" s="5"/>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425</v>
      </c>
      <c r="Y2925" s="204" t="s">
        <v>68</v>
      </c>
      <c r="Z2925" s="204" t="s">
        <v>2655</v>
      </c>
      <c r="AA2925" s="204" t="s">
        <v>7927</v>
      </c>
      <c r="AB2925" s="204"/>
    </row>
    <row r="2926" spans="1:28" ht="28" customHeight="1">
      <c r="A2926" s="156" t="str">
        <f>'Reported burning'!A2926</f>
        <v>311b</v>
      </c>
      <c r="B2926" s="156" t="str">
        <f>'Reported burning'!B2926</f>
        <v>311b.1</v>
      </c>
      <c r="C2926" s="156" t="str">
        <f>'Reported burning'!C2926</f>
        <v>Human, deliberate</v>
      </c>
      <c r="D2926" s="156" t="str">
        <f>'Reported burning'!D2926</f>
        <v>Conservation</v>
      </c>
      <c r="E2926" s="156" t="str">
        <f>'Reported burning'!E2926</f>
        <v>Biodiversity conservation</v>
      </c>
      <c r="F2926" s="156" t="str">
        <f>'Reported burning'!F2926</f>
        <v>Shrubland (Mixed forest &amp; grassland)</v>
      </c>
      <c r="G2926" s="156" t="str">
        <f>'Reported burning'!G2926</f>
        <v>Shrubland (Mixed forest &amp; grassland)</v>
      </c>
      <c r="H2926" s="156" t="str">
        <f>'Reported burning'!H2926</f>
        <v>Presence</v>
      </c>
      <c r="I2926" s="5"/>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425</v>
      </c>
      <c r="Y2926" s="204" t="s">
        <v>68</v>
      </c>
      <c r="Z2926" s="204" t="s">
        <v>2655</v>
      </c>
      <c r="AA2926" s="204" t="s">
        <v>7927</v>
      </c>
      <c r="AB2926" s="204"/>
    </row>
    <row r="2927" spans="1:28" ht="33.5" customHeight="1">
      <c r="A2927" s="156" t="str">
        <f>'Reported burning'!A2927</f>
        <v>311c</v>
      </c>
      <c r="B2927" s="156" t="str">
        <f>'Reported burning'!B2927</f>
        <v>311c.1</v>
      </c>
      <c r="C2927" s="156" t="str">
        <f>'Reported burning'!C2927</f>
        <v>Human, deliberate</v>
      </c>
      <c r="D2927" s="156" t="str">
        <f>'Reported burning'!D2927</f>
        <v>Conservation</v>
      </c>
      <c r="E2927" s="156" t="str">
        <f>'Reported burning'!E2927</f>
        <v>Biodiversity conservation</v>
      </c>
      <c r="F2927" s="156" t="str">
        <f>'Reported burning'!F2927</f>
        <v>Shrubland (Mixed forest &amp; grassland)</v>
      </c>
      <c r="G2927" s="156" t="str">
        <f>'Reported burning'!G2927</f>
        <v>Shrubland (Mixed forest &amp; grassland)</v>
      </c>
      <c r="H2927" s="156" t="str">
        <f>'Reported burning'!H2927</f>
        <v>Presence</v>
      </c>
      <c r="I2927" s="5"/>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425</v>
      </c>
      <c r="Y2927" s="204" t="s">
        <v>68</v>
      </c>
      <c r="Z2927" s="204" t="s">
        <v>2655</v>
      </c>
      <c r="AA2927" s="204" t="s">
        <v>7927</v>
      </c>
      <c r="AB2927" s="204"/>
    </row>
    <row r="2928" spans="1:28" ht="33.5" customHeight="1">
      <c r="A2928" s="156" t="str">
        <f>'Reported burning'!A2928</f>
        <v>311d</v>
      </c>
      <c r="B2928" s="156" t="str">
        <f>'Reported burning'!B2928</f>
        <v>311d.1</v>
      </c>
      <c r="C2928" s="156" t="str">
        <f>'Reported burning'!C2928</f>
        <v>Human, deliberate</v>
      </c>
      <c r="D2928" s="156" t="str">
        <f>'Reported burning'!D2928</f>
        <v>Conservation</v>
      </c>
      <c r="E2928" s="156" t="str">
        <f>'Reported burning'!E2928</f>
        <v>Biodiversity conservation</v>
      </c>
      <c r="F2928" s="156" t="str">
        <f>'Reported burning'!F2928</f>
        <v>Shrubland (Mixed forest &amp; grassland)</v>
      </c>
      <c r="G2928" s="156" t="str">
        <f>'Reported burning'!G2928</f>
        <v>Shrubland (Mixed forest &amp; grassland)</v>
      </c>
      <c r="H2928" s="156" t="str">
        <f>'Reported burning'!H2928</f>
        <v>Presence</v>
      </c>
      <c r="I2928" s="5"/>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425</v>
      </c>
      <c r="Y2928" s="204" t="s">
        <v>68</v>
      </c>
      <c r="Z2928" s="204" t="s">
        <v>2655</v>
      </c>
      <c r="AA2928" s="204" t="s">
        <v>7927</v>
      </c>
      <c r="AB2928" s="204"/>
    </row>
    <row r="2929" spans="1:28" ht="33.5" customHeight="1">
      <c r="A2929" s="156" t="str">
        <f>'Reported burning'!A2929</f>
        <v>311e</v>
      </c>
      <c r="B2929" s="156" t="str">
        <f>'Reported burning'!B2929</f>
        <v>311e.1</v>
      </c>
      <c r="C2929" s="156" t="str">
        <f>'Reported burning'!C2929</f>
        <v>Human, deliberate</v>
      </c>
      <c r="D2929" s="156" t="str">
        <f>'Reported burning'!D2929</f>
        <v>Pasture renewal</v>
      </c>
      <c r="E2929" s="156" t="str">
        <f>'Reported burning'!E2929</f>
        <v>Cattle, Intensive</v>
      </c>
      <c r="F2929" s="156" t="str">
        <f>'Reported burning'!F2929</f>
        <v>Pasture</v>
      </c>
      <c r="G2929" s="156" t="str">
        <f>'Reported burning'!G2929</f>
        <v>Pasture</v>
      </c>
      <c r="H2929" s="156" t="str">
        <f>'Reported burning'!H2929</f>
        <v>Presence</v>
      </c>
      <c r="I2929" s="5"/>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425</v>
      </c>
      <c r="Y2929" s="204" t="s">
        <v>68</v>
      </c>
      <c r="Z2929" s="204" t="s">
        <v>2655</v>
      </c>
      <c r="AA2929" s="204" t="s">
        <v>7927</v>
      </c>
      <c r="AB2929" s="204"/>
    </row>
    <row r="2930" spans="1:28" ht="33.5" customHeight="1">
      <c r="A2930" s="156" t="str">
        <f>'Reported burning'!A2930</f>
        <v>311f</v>
      </c>
      <c r="B2930" s="156" t="str">
        <f>'Reported burning'!B2930</f>
        <v>311f.1</v>
      </c>
      <c r="C2930" s="156" t="str">
        <f>'Reported burning'!C2930</f>
        <v>Human, deliberate</v>
      </c>
      <c r="D2930" s="156" t="str">
        <f>'Reported burning'!D2930</f>
        <v>Pasture renewal</v>
      </c>
      <c r="E2930" s="156" t="str">
        <f>'Reported burning'!E2930</f>
        <v>Cattle, Intensive</v>
      </c>
      <c r="F2930" s="156" t="str">
        <f>'Reported burning'!F2930</f>
        <v>Pasture</v>
      </c>
      <c r="G2930" s="156" t="str">
        <f>'Reported burning'!G2930</f>
        <v>Pasture</v>
      </c>
      <c r="H2930" s="156" t="str">
        <f>'Reported burning'!H2930</f>
        <v>Presence</v>
      </c>
      <c r="I2930" s="5"/>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425</v>
      </c>
      <c r="Y2930" s="204" t="s">
        <v>68</v>
      </c>
      <c r="Z2930" s="204" t="s">
        <v>2655</v>
      </c>
      <c r="AA2930" s="204" t="s">
        <v>7927</v>
      </c>
      <c r="AB2930" s="204"/>
    </row>
    <row r="2931" spans="1:28" ht="33.5" customHeight="1">
      <c r="A2931" s="156" t="str">
        <f>'Reported burning'!A2931</f>
        <v>311g</v>
      </c>
      <c r="B2931" s="156" t="str">
        <f>'Reported burning'!B2931</f>
        <v>311g.1</v>
      </c>
      <c r="C2931" s="156" t="str">
        <f>'Reported burning'!C2931</f>
        <v>Human, deliberate</v>
      </c>
      <c r="D2931" s="156" t="str">
        <f>'Reported burning'!D2931</f>
        <v>Pasture renewal</v>
      </c>
      <c r="E2931" s="156" t="str">
        <f>'Reported burning'!E2931</f>
        <v>Cattle, Intensive</v>
      </c>
      <c r="F2931" s="156" t="str">
        <f>'Reported burning'!F2931</f>
        <v>Pasture</v>
      </c>
      <c r="G2931" s="156" t="str">
        <f>'Reported burning'!G2931</f>
        <v>Pasture</v>
      </c>
      <c r="H2931" s="156" t="str">
        <f>'Reported burning'!H2931</f>
        <v>Presence</v>
      </c>
      <c r="I2931" s="5"/>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425</v>
      </c>
      <c r="Y2931" s="204" t="s">
        <v>68</v>
      </c>
      <c r="Z2931" s="204" t="s">
        <v>2655</v>
      </c>
      <c r="AA2931" s="204" t="s">
        <v>7927</v>
      </c>
      <c r="AB2931" s="204"/>
    </row>
    <row r="2932" spans="1:28" ht="33.5" customHeight="1">
      <c r="A2932" s="156" t="str">
        <f>'Reported burning'!A2932</f>
        <v>311h</v>
      </c>
      <c r="B2932" s="156" t="str">
        <f>'Reported burning'!B2932</f>
        <v>311h.1</v>
      </c>
      <c r="C2932" s="156" t="str">
        <f>'Reported burning'!C2932</f>
        <v>Human, deliberate</v>
      </c>
      <c r="D2932" s="156" t="str">
        <f>'Reported burning'!D2932</f>
        <v>Pasture renewal</v>
      </c>
      <c r="E2932" s="156" t="str">
        <f>'Reported burning'!E2932</f>
        <v>Pastoralism, Migratory</v>
      </c>
      <c r="F2932" s="156" t="str">
        <f>'Reported burning'!F2932</f>
        <v>Shrubland (Mixed forest &amp; grassland)</v>
      </c>
      <c r="G2932" s="156" t="str">
        <f>'Reported burning'!G2932</f>
        <v>Shrubland (Mixed forest &amp; grassland)</v>
      </c>
      <c r="H2932" s="156" t="str">
        <f>'Reported burning'!H2932</f>
        <v>Absence</v>
      </c>
      <c r="I2932" s="5"/>
      <c r="J2932" s="21" t="s">
        <v>2364</v>
      </c>
      <c r="K2932" s="21" t="s">
        <v>2364</v>
      </c>
      <c r="L2932" s="21" t="s">
        <v>2364</v>
      </c>
      <c r="M2932" s="21" t="s">
        <v>2364</v>
      </c>
      <c r="N2932" s="21" t="s">
        <v>2364</v>
      </c>
      <c r="O2932" s="21" t="s">
        <v>2364</v>
      </c>
      <c r="P2932" s="21" t="s">
        <v>2364</v>
      </c>
      <c r="Q2932" s="21" t="s">
        <v>2364</v>
      </c>
      <c r="R2932" s="21" t="s">
        <v>2364</v>
      </c>
      <c r="S2932" s="21" t="s">
        <v>2364</v>
      </c>
      <c r="T2932" s="21" t="s">
        <v>2364</v>
      </c>
      <c r="U2932" s="21" t="s">
        <v>2364</v>
      </c>
      <c r="V2932" s="21" t="s">
        <v>2364</v>
      </c>
      <c r="W2932" s="204" t="s">
        <v>2276</v>
      </c>
      <c r="X2932" s="204" t="s">
        <v>2276</v>
      </c>
      <c r="Y2932" s="204" t="s">
        <v>2276</v>
      </c>
      <c r="Z2932" s="204" t="s">
        <v>2276</v>
      </c>
      <c r="AA2932" s="204"/>
      <c r="AB2932" s="204"/>
    </row>
    <row r="2933" spans="1:28" ht="33.5" customHeight="1">
      <c r="A2933" s="156" t="str">
        <f>'Reported burning'!A2933</f>
        <v>312a</v>
      </c>
      <c r="B2933" s="156" t="str">
        <f>'Reported burning'!B2933</f>
        <v>312a.1</v>
      </c>
      <c r="C2933" s="156" t="str">
        <f>'Reported burning'!C2933</f>
        <v>Human, deliberate</v>
      </c>
      <c r="D2933" s="156" t="str">
        <f>'Reported burning'!D2933</f>
        <v>Conservation</v>
      </c>
      <c r="E2933" s="156" t="str">
        <f>'Reported burning'!E2933</f>
        <v>Biodiversity conservation</v>
      </c>
      <c r="F2933" s="156" t="str">
        <f>'Reported burning'!F2933</f>
        <v>Shrubland (Mixed forest &amp; grassland)</v>
      </c>
      <c r="G2933" s="156" t="str">
        <f>'Reported burning'!G2933</f>
        <v>Shrubland (Mixed forest &amp; grassland)</v>
      </c>
      <c r="H2933" s="156" t="str">
        <f>'Reported burning'!H2933</f>
        <v>Absence</v>
      </c>
      <c r="I2933" s="5"/>
      <c r="J2933" s="21">
        <v>0</v>
      </c>
      <c r="K2933" s="21">
        <v>0</v>
      </c>
      <c r="L2933" s="21">
        <v>0</v>
      </c>
      <c r="M2933" s="21">
        <v>0</v>
      </c>
      <c r="N2933" s="21">
        <v>0</v>
      </c>
      <c r="O2933" s="21">
        <v>0</v>
      </c>
      <c r="P2933" s="21">
        <v>0</v>
      </c>
      <c r="Q2933" s="21">
        <v>0</v>
      </c>
      <c r="R2933" s="21">
        <v>0</v>
      </c>
      <c r="S2933" s="21">
        <v>0</v>
      </c>
      <c r="T2933" s="21">
        <v>0</v>
      </c>
      <c r="U2933" s="21">
        <v>0</v>
      </c>
      <c r="V2933" s="204" t="s">
        <v>2276</v>
      </c>
      <c r="W2933" s="204" t="s">
        <v>2276</v>
      </c>
      <c r="X2933" s="204" t="s">
        <v>2276</v>
      </c>
      <c r="Y2933" s="204" t="s">
        <v>2276</v>
      </c>
      <c r="Z2933" s="204" t="s">
        <v>2276</v>
      </c>
      <c r="AA2933" s="204"/>
      <c r="AB2933" s="204"/>
    </row>
    <row r="2934" spans="1:28" ht="37" customHeight="1">
      <c r="A2934" s="156" t="str">
        <f>'Reported burning'!A2934</f>
        <v>312a</v>
      </c>
      <c r="B2934" s="156" t="str">
        <f>'Reported burning'!B2934</f>
        <v>312a.2</v>
      </c>
      <c r="C2934" s="156" t="str">
        <f>'Reported burning'!C2934</f>
        <v>Human, deliberate</v>
      </c>
      <c r="D2934" s="156" t="str">
        <f>'Reported burning'!D2934</f>
        <v>Pasture renewal</v>
      </c>
      <c r="E2934" s="156" t="str">
        <f>'Reported burning'!E2934</f>
        <v>Cattle, Extensive</v>
      </c>
      <c r="F2934" s="156" t="str">
        <f>'Reported burning'!F2934</f>
        <v>Shrubland (Mixed forest &amp; grassland)</v>
      </c>
      <c r="G2934" s="156" t="str">
        <f>'Reported burning'!G2934</f>
        <v>Shrubland (Mixed forest &amp; grassland)</v>
      </c>
      <c r="H2934" s="156" t="str">
        <f>'Reported burning'!H2934</f>
        <v>Presence</v>
      </c>
      <c r="I2934" s="5"/>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1" t="s">
        <v>2375</v>
      </c>
      <c r="X2934" s="204" t="s">
        <v>2276</v>
      </c>
      <c r="Y2934" s="204" t="s">
        <v>2276</v>
      </c>
      <c r="Z2934" s="204" t="s">
        <v>2276</v>
      </c>
      <c r="AA2934" s="204"/>
      <c r="AB2934" s="204"/>
    </row>
    <row r="2935" spans="1:28" ht="35" customHeight="1">
      <c r="A2935" s="156" t="str">
        <f>'Reported burning'!A2935</f>
        <v>312a</v>
      </c>
      <c r="B2935" s="156" t="str">
        <f>'Reported burning'!B2935</f>
        <v>312a.3</v>
      </c>
      <c r="C2935" s="156" t="str">
        <f>'Reported burning'!C2935</f>
        <v>All</v>
      </c>
      <c r="D2935" s="156" t="str">
        <f>'Reported burning'!D2935</f>
        <v>All</v>
      </c>
      <c r="E2935" s="156" t="str">
        <f>'Reported burning'!E2935</f>
        <v>All</v>
      </c>
      <c r="F2935" s="156" t="str">
        <f>'Reported burning'!F2935</f>
        <v>ND</v>
      </c>
      <c r="G2935" s="156" t="str">
        <f>'Reported burning'!G2935</f>
        <v>Shrubland (Mixed forest &amp; grassland)</v>
      </c>
      <c r="H2935" s="156" t="str">
        <f>'Reported burning'!H2935</f>
        <v>Presence</v>
      </c>
      <c r="I2935" s="5"/>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04" t="s">
        <v>2276</v>
      </c>
      <c r="W2935" s="204" t="s">
        <v>2276</v>
      </c>
      <c r="X2935" s="204" t="s">
        <v>2276</v>
      </c>
      <c r="Y2935" s="204" t="s">
        <v>2276</v>
      </c>
      <c r="Z2935" s="204" t="s">
        <v>2276</v>
      </c>
      <c r="AA2935" s="204"/>
      <c r="AB2935" s="204"/>
    </row>
    <row r="2936" spans="1:28" ht="41" customHeight="1">
      <c r="A2936" s="156" t="str">
        <f>'Reported burning'!A2936</f>
        <v>312a</v>
      </c>
      <c r="B2936" s="156" t="str">
        <f>'Reported burning'!B2936</f>
        <v>312a.4</v>
      </c>
      <c r="C2936" s="156" t="str">
        <f>'Reported burning'!C2936</f>
        <v>Human, accidental</v>
      </c>
      <c r="D2936" s="156" t="str">
        <f>'Reported burning'!D2936</f>
        <v>ND</v>
      </c>
      <c r="E2936" s="156" t="str">
        <f>'Reported burning'!E2936</f>
        <v>ND</v>
      </c>
      <c r="F2936" s="156" t="str">
        <f>'Reported burning'!F2936</f>
        <v>ND</v>
      </c>
      <c r="G2936" s="156" t="str">
        <f>'Reported burning'!G2936</f>
        <v>Shrubland (Mixed forest &amp; grassland)</v>
      </c>
      <c r="H2936" s="156" t="str">
        <f>'Reported burning'!H2936</f>
        <v>Presence</v>
      </c>
      <c r="I2936" s="5"/>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c r="AB2936" s="204"/>
    </row>
    <row r="2937" spans="1:28" ht="41" customHeight="1">
      <c r="A2937" s="156" t="str">
        <f>'Reported burning'!A2937</f>
        <v>313a</v>
      </c>
      <c r="B2937" s="156" t="str">
        <f>'Reported burning'!B2937</f>
        <v>313a.1</v>
      </c>
      <c r="C2937" s="156" t="str">
        <f>'Reported burning'!C2937</f>
        <v>All</v>
      </c>
      <c r="D2937" s="156" t="str">
        <f>'Reported burning'!D2937</f>
        <v>ND</v>
      </c>
      <c r="E2937" s="156" t="str">
        <f>'Reported burning'!E2937</f>
        <v>ND</v>
      </c>
      <c r="F2937" s="156" t="str">
        <f>'Reported burning'!F2937</f>
        <v>ND</v>
      </c>
      <c r="G2937" s="156" t="str">
        <f>'Reported burning'!G2937</f>
        <v>ND</v>
      </c>
      <c r="H2937" s="156" t="str">
        <f>'Reported burning'!H2937</f>
        <v>Presence</v>
      </c>
      <c r="I2937" s="5"/>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1" t="s">
        <v>2527</v>
      </c>
      <c r="W2937" s="21" t="s">
        <v>2846</v>
      </c>
      <c r="X2937" s="204" t="s">
        <v>38</v>
      </c>
      <c r="Y2937" s="204" t="s">
        <v>425</v>
      </c>
      <c r="Z2937" s="204" t="s">
        <v>64</v>
      </c>
      <c r="AA2937" s="204"/>
      <c r="AB2937" s="204"/>
    </row>
    <row r="2938" spans="1:28" ht="41" customHeight="1">
      <c r="A2938" s="156" t="str">
        <f>'Reported burning'!A2938</f>
        <v>313a</v>
      </c>
      <c r="B2938" s="156" t="str">
        <f>'Reported burning'!B2938</f>
        <v>313a.2</v>
      </c>
      <c r="C2938" s="156" t="str">
        <f>'Reported burning'!C2938</f>
        <v>All</v>
      </c>
      <c r="D2938" s="156" t="str">
        <f>'Reported burning'!D2938</f>
        <v>ND</v>
      </c>
      <c r="E2938" s="156" t="str">
        <f>'Reported burning'!E2938</f>
        <v>ND</v>
      </c>
      <c r="F2938" s="156" t="str">
        <f>'Reported burning'!F2938</f>
        <v>ND</v>
      </c>
      <c r="G2938" s="156" t="str">
        <f>'Reported burning'!G2938</f>
        <v>ND</v>
      </c>
      <c r="H2938" s="156" t="str">
        <f>'Reported burning'!H2938</f>
        <v>Presence</v>
      </c>
      <c r="I2938" s="5"/>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1" t="s">
        <v>2527</v>
      </c>
      <c r="W2938" s="21" t="s">
        <v>2846</v>
      </c>
      <c r="X2938" s="204" t="s">
        <v>38</v>
      </c>
      <c r="Y2938" s="204" t="s">
        <v>425</v>
      </c>
      <c r="Z2938" s="204" t="s">
        <v>64</v>
      </c>
      <c r="AA2938" s="204"/>
      <c r="AB2938" s="204"/>
    </row>
    <row r="2939" spans="1:28" ht="39" customHeight="1">
      <c r="A2939" s="156" t="str">
        <f>'Reported burning'!A2939</f>
        <v>313a</v>
      </c>
      <c r="B2939" s="156" t="str">
        <f>'Reported burning'!B2939</f>
        <v>313a.3</v>
      </c>
      <c r="C2939" s="156" t="str">
        <f>'Reported burning'!C2939</f>
        <v>All</v>
      </c>
      <c r="D2939" s="156" t="str">
        <f>'Reported burning'!D2939</f>
        <v>ND</v>
      </c>
      <c r="E2939" s="156" t="str">
        <f>'Reported burning'!E2939</f>
        <v>ND</v>
      </c>
      <c r="F2939" s="156" t="str">
        <f>'Reported burning'!F2939</f>
        <v>ND</v>
      </c>
      <c r="G2939" s="156" t="str">
        <f>'Reported burning'!G2939</f>
        <v>ND</v>
      </c>
      <c r="H2939" s="156" t="str">
        <f>'Reported burning'!H2939</f>
        <v>Presence</v>
      </c>
      <c r="I2939" s="5"/>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1" t="s">
        <v>2527</v>
      </c>
      <c r="W2939" s="21" t="s">
        <v>2404</v>
      </c>
      <c r="X2939" s="204" t="s">
        <v>38</v>
      </c>
      <c r="Y2939" s="204" t="s">
        <v>425</v>
      </c>
      <c r="Z2939" s="204" t="s">
        <v>64</v>
      </c>
      <c r="AA2939" s="204"/>
      <c r="AB2939" s="204"/>
    </row>
    <row r="2940" spans="1:28" ht="39" customHeight="1">
      <c r="A2940" s="156" t="str">
        <f>'Reported burning'!A2940</f>
        <v>313a</v>
      </c>
      <c r="B2940" s="156" t="str">
        <f>'Reported burning'!B2940</f>
        <v>313a.4</v>
      </c>
      <c r="C2940" s="156" t="str">
        <f>'Reported burning'!C2940</f>
        <v>All</v>
      </c>
      <c r="D2940" s="156" t="str">
        <f>'Reported burning'!D2940</f>
        <v>ND</v>
      </c>
      <c r="E2940" s="156" t="str">
        <f>'Reported burning'!E2940</f>
        <v>ND</v>
      </c>
      <c r="F2940" s="156" t="str">
        <f>'Reported burning'!F2940</f>
        <v>ND</v>
      </c>
      <c r="G2940" s="156" t="str">
        <f>'Reported burning'!G2940</f>
        <v>ND</v>
      </c>
      <c r="H2940" s="156" t="str">
        <f>'Reported burning'!H2940</f>
        <v>Presence</v>
      </c>
      <c r="I2940" s="5"/>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1" t="s">
        <v>2527</v>
      </c>
      <c r="W2940" s="21" t="s">
        <v>2846</v>
      </c>
      <c r="X2940" s="204" t="s">
        <v>38</v>
      </c>
      <c r="Y2940" s="204" t="s">
        <v>425</v>
      </c>
      <c r="Z2940" s="204" t="s">
        <v>64</v>
      </c>
      <c r="AA2940" s="204"/>
      <c r="AB2940" s="204"/>
    </row>
    <row r="2941" spans="1:28" ht="39" customHeight="1">
      <c r="A2941" s="156" t="str">
        <f>'Reported burning'!A2941</f>
        <v>313a</v>
      </c>
      <c r="B2941" s="156" t="str">
        <f>'Reported burning'!B2941</f>
        <v>313a.5</v>
      </c>
      <c r="C2941" s="156" t="str">
        <f>'Reported burning'!C2941</f>
        <v>All</v>
      </c>
      <c r="D2941" s="156" t="str">
        <f>'Reported burning'!D2941</f>
        <v>ND</v>
      </c>
      <c r="E2941" s="156" t="str">
        <f>'Reported burning'!E2941</f>
        <v>ND</v>
      </c>
      <c r="F2941" s="156" t="str">
        <f>'Reported burning'!F2941</f>
        <v>ND</v>
      </c>
      <c r="G2941" s="156" t="str">
        <f>'Reported burning'!G2941</f>
        <v>ND</v>
      </c>
      <c r="H2941" s="156" t="str">
        <f>'Reported burning'!H2941</f>
        <v>Presence</v>
      </c>
      <c r="I2941" s="5"/>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1" t="s">
        <v>2527</v>
      </c>
      <c r="W2941" s="21" t="s">
        <v>2404</v>
      </c>
      <c r="X2941" s="204" t="s">
        <v>38</v>
      </c>
      <c r="Y2941" s="204" t="s">
        <v>425</v>
      </c>
      <c r="Z2941" s="204" t="s">
        <v>64</v>
      </c>
      <c r="AA2941" s="204"/>
      <c r="AB2941" s="204"/>
    </row>
    <row r="2942" spans="1:28" ht="39" customHeight="1">
      <c r="A2942" s="156" t="str">
        <f>'Reported burning'!A2942</f>
        <v>313b</v>
      </c>
      <c r="B2942" s="156" t="str">
        <f>'Reported burning'!B2942</f>
        <v>313b.1</v>
      </c>
      <c r="C2942" s="156" t="str">
        <f>'Reported burning'!C2942</f>
        <v>All</v>
      </c>
      <c r="D2942" s="156" t="str">
        <f>'Reported burning'!D2942</f>
        <v>ND</v>
      </c>
      <c r="E2942" s="156" t="str">
        <f>'Reported burning'!E2942</f>
        <v>ND</v>
      </c>
      <c r="F2942" s="156" t="str">
        <f>'Reported burning'!F2942</f>
        <v>ND</v>
      </c>
      <c r="G2942" s="156" t="str">
        <f>'Reported burning'!G2942</f>
        <v>ND</v>
      </c>
      <c r="H2942" s="156" t="str">
        <f>'Reported burning'!H2942</f>
        <v>Presence</v>
      </c>
      <c r="I2942" s="5"/>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1" t="s">
        <v>2374</v>
      </c>
      <c r="W2942" s="21" t="s">
        <v>2404</v>
      </c>
      <c r="X2942" s="204" t="s">
        <v>38</v>
      </c>
      <c r="Y2942" s="204" t="s">
        <v>425</v>
      </c>
      <c r="Z2942" s="204" t="s">
        <v>64</v>
      </c>
      <c r="AA2942" s="204"/>
      <c r="AB2942" s="204"/>
    </row>
    <row r="2943" spans="1:28" ht="39" customHeight="1">
      <c r="A2943" s="156" t="str">
        <f>'Reported burning'!A2943</f>
        <v>313b</v>
      </c>
      <c r="B2943" s="156" t="str">
        <f>'Reported burning'!B2943</f>
        <v>313b.2</v>
      </c>
      <c r="C2943" s="156" t="str">
        <f>'Reported burning'!C2943</f>
        <v>All</v>
      </c>
      <c r="D2943" s="156" t="str">
        <f>'Reported burning'!D2943</f>
        <v>ND</v>
      </c>
      <c r="E2943" s="156" t="str">
        <f>'Reported burning'!E2943</f>
        <v>ND</v>
      </c>
      <c r="F2943" s="156" t="str">
        <f>'Reported burning'!F2943</f>
        <v>ND</v>
      </c>
      <c r="G2943" s="156" t="str">
        <f>'Reported burning'!G2943</f>
        <v>ND</v>
      </c>
      <c r="H2943" s="156" t="str">
        <f>'Reported burning'!H2943</f>
        <v>Presence</v>
      </c>
      <c r="I2943" s="5"/>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1" t="s">
        <v>2376</v>
      </c>
      <c r="W2943" s="21" t="s">
        <v>2402</v>
      </c>
      <c r="X2943" s="204" t="s">
        <v>38</v>
      </c>
      <c r="Y2943" s="204" t="s">
        <v>425</v>
      </c>
      <c r="Z2943" s="204" t="s">
        <v>64</v>
      </c>
      <c r="AA2943" s="204"/>
      <c r="AB2943" s="204"/>
    </row>
    <row r="2944" spans="1:28" ht="39" customHeight="1">
      <c r="A2944" s="156" t="str">
        <f>'Reported burning'!A2944</f>
        <v>313b</v>
      </c>
      <c r="B2944" s="156" t="str">
        <f>'Reported burning'!B2944</f>
        <v>313b.3</v>
      </c>
      <c r="C2944" s="156" t="str">
        <f>'Reported burning'!C2944</f>
        <v>All</v>
      </c>
      <c r="D2944" s="156" t="str">
        <f>'Reported burning'!D2944</f>
        <v>ND</v>
      </c>
      <c r="E2944" s="156" t="str">
        <f>'Reported burning'!E2944</f>
        <v>ND</v>
      </c>
      <c r="F2944" s="156" t="str">
        <f>'Reported burning'!F2944</f>
        <v>ND</v>
      </c>
      <c r="G2944" s="156" t="str">
        <f>'Reported burning'!G2944</f>
        <v>ND</v>
      </c>
      <c r="H2944" s="156" t="str">
        <f>'Reported burning'!H2944</f>
        <v>Presence</v>
      </c>
      <c r="I2944" s="5"/>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1" t="s">
        <v>2389</v>
      </c>
      <c r="W2944" s="21" t="s">
        <v>2402</v>
      </c>
      <c r="X2944" s="204" t="s">
        <v>38</v>
      </c>
      <c r="Y2944" s="204" t="s">
        <v>425</v>
      </c>
      <c r="Z2944" s="204" t="s">
        <v>64</v>
      </c>
      <c r="AA2944" s="204"/>
      <c r="AB2944" s="204"/>
    </row>
    <row r="2945" spans="1:28" ht="39" customHeight="1">
      <c r="A2945" s="156" t="str">
        <f>'Reported burning'!A2945</f>
        <v>313b</v>
      </c>
      <c r="B2945" s="156" t="str">
        <f>'Reported burning'!B2945</f>
        <v>313b.4</v>
      </c>
      <c r="C2945" s="156" t="str">
        <f>'Reported burning'!C2945</f>
        <v>All</v>
      </c>
      <c r="D2945" s="156" t="str">
        <f>'Reported burning'!D2945</f>
        <v>ND</v>
      </c>
      <c r="E2945" s="156" t="str">
        <f>'Reported burning'!E2945</f>
        <v>ND</v>
      </c>
      <c r="F2945" s="156" t="str">
        <f>'Reported burning'!F2945</f>
        <v>ND</v>
      </c>
      <c r="G2945" s="156" t="str">
        <f>'Reported burning'!G2945</f>
        <v>ND</v>
      </c>
      <c r="H2945" s="156" t="str">
        <f>'Reported burning'!H2945</f>
        <v>Presence</v>
      </c>
      <c r="I2945" s="5"/>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1" t="s">
        <v>2376</v>
      </c>
      <c r="W2945" s="21" t="s">
        <v>2403</v>
      </c>
      <c r="X2945" s="204" t="s">
        <v>38</v>
      </c>
      <c r="Y2945" s="204" t="s">
        <v>425</v>
      </c>
      <c r="Z2945" s="204" t="s">
        <v>64</v>
      </c>
      <c r="AA2945" s="204"/>
      <c r="AB2945" s="204"/>
    </row>
    <row r="2946" spans="1:28" ht="39" customHeight="1">
      <c r="A2946" s="156" t="str">
        <f>'Reported burning'!A2946</f>
        <v>313b</v>
      </c>
      <c r="B2946" s="156" t="str">
        <f>'Reported burning'!B2946</f>
        <v>313b.5</v>
      </c>
      <c r="C2946" s="156" t="str">
        <f>'Reported burning'!C2946</f>
        <v>All</v>
      </c>
      <c r="D2946" s="156" t="str">
        <f>'Reported burning'!D2946</f>
        <v>ND</v>
      </c>
      <c r="E2946" s="156" t="str">
        <f>'Reported burning'!E2946</f>
        <v>ND</v>
      </c>
      <c r="F2946" s="156" t="str">
        <f>'Reported burning'!F2946</f>
        <v>ND</v>
      </c>
      <c r="G2946" s="156" t="str">
        <f>'Reported burning'!G2946</f>
        <v>ND</v>
      </c>
      <c r="H2946" s="156" t="str">
        <f>'Reported burning'!H2946</f>
        <v>Presence</v>
      </c>
      <c r="I2946" s="5"/>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1" t="s">
        <v>2389</v>
      </c>
      <c r="W2946" s="21" t="s">
        <v>2402</v>
      </c>
      <c r="X2946" s="204" t="s">
        <v>38</v>
      </c>
      <c r="Y2946" s="204" t="s">
        <v>425</v>
      </c>
      <c r="Z2946" s="204" t="s">
        <v>64</v>
      </c>
      <c r="AA2946" s="204"/>
      <c r="AB2946" s="204"/>
    </row>
    <row r="2947" spans="1:28" ht="39" customHeight="1">
      <c r="A2947" s="152" t="str">
        <f>'Reported burning'!A2947</f>
        <v>313b</v>
      </c>
      <c r="B2947" s="152" t="str">
        <f>'Reported burning'!B2947</f>
        <v>313b.6</v>
      </c>
      <c r="C2947" s="152" t="str">
        <f>'Reported burning'!C2947</f>
        <v>Human, deliberate</v>
      </c>
      <c r="D2947" s="152" t="str">
        <f>'Reported burning'!D2947</f>
        <v>Pasture renewal</v>
      </c>
      <c r="E2947" s="152" t="str">
        <f>'Reported burning'!E2947</f>
        <v>Cattle, Extensive</v>
      </c>
      <c r="F2947" s="152" t="str">
        <f>'Reported burning'!F2947</f>
        <v>Shrubland (Mixed forest &amp; grassland)</v>
      </c>
      <c r="G2947" s="152" t="str">
        <f>'Reported burning'!G2947</f>
        <v>Shrubland (Mixed forest &amp; grassland)</v>
      </c>
      <c r="H2947" s="152" t="str">
        <f>'Reported burning'!H2947</f>
        <v>Presence</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1" t="s">
        <v>2402</v>
      </c>
      <c r="X2947" s="204" t="s">
        <v>38</v>
      </c>
      <c r="Y2947" s="204" t="s">
        <v>425</v>
      </c>
      <c r="Z2947" s="204" t="s">
        <v>64</v>
      </c>
      <c r="AA2947" s="204"/>
      <c r="AB2947" s="204"/>
    </row>
    <row r="2948" spans="1:28" ht="39" customHeight="1">
      <c r="A2948" s="152" t="str">
        <f>'Reported burning'!A2948</f>
        <v>313b</v>
      </c>
      <c r="B2948" s="152" t="str">
        <f>'Reported burning'!B2948</f>
        <v>313b.7</v>
      </c>
      <c r="C2948" s="152" t="str">
        <f>'Reported burning'!C2948</f>
        <v>Human, deliberate</v>
      </c>
      <c r="D2948" s="152" t="str">
        <f>'Reported burning'!D2948</f>
        <v>Pasture renewal</v>
      </c>
      <c r="E2948" s="152" t="str">
        <f>'Reported burning'!E2948</f>
        <v>Cattle, Extensive</v>
      </c>
      <c r="F2948" s="152" t="str">
        <f>'Reported burning'!F2948</f>
        <v>Shrubland (Mixed forest &amp; grassland)</v>
      </c>
      <c r="G2948" s="152" t="str">
        <f>'Reported burning'!G2948</f>
        <v>Shrubland (Mixed forest &amp; grassland)</v>
      </c>
      <c r="H2948" s="152" t="str">
        <f>'Reported burning'!H2948</f>
        <v>Presence</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1" t="s">
        <v>2402</v>
      </c>
      <c r="X2948" s="204" t="s">
        <v>38</v>
      </c>
      <c r="Y2948" s="204" t="s">
        <v>425</v>
      </c>
      <c r="Z2948" s="204" t="s">
        <v>64</v>
      </c>
      <c r="AA2948" s="204"/>
      <c r="AB2948" s="204"/>
    </row>
    <row r="2949" spans="1:28" ht="38" customHeight="1">
      <c r="A2949" s="152" t="str">
        <f>'Reported burning'!A2949</f>
        <v>313b</v>
      </c>
      <c r="B2949" s="152" t="str">
        <f>'Reported burning'!B2949</f>
        <v>313b.8</v>
      </c>
      <c r="C2949" s="152" t="str">
        <f>'Reported burning'!C2949</f>
        <v>Human, deliberate</v>
      </c>
      <c r="D2949" s="152" t="str">
        <f>'Reported burning'!D2949</f>
        <v>Pasture renewal</v>
      </c>
      <c r="E2949" s="152" t="str">
        <f>'Reported burning'!E2949</f>
        <v>Cattle, Extensive</v>
      </c>
      <c r="F2949" s="152" t="str">
        <f>'Reported burning'!F2949</f>
        <v>Shrubland (Mixed forest &amp; grassland)</v>
      </c>
      <c r="G2949" s="152" t="str">
        <f>'Reported burning'!G2949</f>
        <v>Shrubland (Mixed forest &amp; grassland)</v>
      </c>
      <c r="H2949" s="152" t="str">
        <f>'Reported burning'!H2949</f>
        <v>Presence</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1" t="s">
        <v>2402</v>
      </c>
      <c r="X2949" s="204" t="s">
        <v>38</v>
      </c>
      <c r="Y2949" s="204" t="s">
        <v>425</v>
      </c>
      <c r="Z2949" s="204" t="s">
        <v>64</v>
      </c>
      <c r="AA2949" s="204"/>
      <c r="AB2949" s="204"/>
    </row>
    <row r="2950" spans="1:28" ht="38" customHeight="1">
      <c r="A2950" s="152" t="str">
        <f>'Reported burning'!A2950</f>
        <v>313b</v>
      </c>
      <c r="B2950" s="152" t="str">
        <f>'Reported burning'!B2950</f>
        <v>313b.9</v>
      </c>
      <c r="C2950" s="152" t="str">
        <f>'Reported burning'!C2950</f>
        <v>Human, deliberate</v>
      </c>
      <c r="D2950" s="152" t="str">
        <f>'Reported burning'!D2950</f>
        <v>Pasture renewal</v>
      </c>
      <c r="E2950" s="152" t="str">
        <f>'Reported burning'!E2950</f>
        <v>Cattle, Extensive</v>
      </c>
      <c r="F2950" s="152" t="str">
        <f>'Reported burning'!F2950</f>
        <v>Shrubland (Mixed forest &amp; grassland)</v>
      </c>
      <c r="G2950" s="152" t="str">
        <f>'Reported burning'!G2950</f>
        <v>Shrubland (Mixed forest &amp; grassland)</v>
      </c>
      <c r="H2950" s="152" t="str">
        <f>'Reported burning'!H2950</f>
        <v>Presence</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1" t="s">
        <v>2402</v>
      </c>
      <c r="X2950" s="204" t="s">
        <v>38</v>
      </c>
      <c r="Y2950" s="204" t="s">
        <v>425</v>
      </c>
      <c r="Z2950" s="204" t="s">
        <v>64</v>
      </c>
      <c r="AA2950" s="204"/>
      <c r="AB2950" s="204"/>
    </row>
    <row r="2951" spans="1:28" ht="38" customHeight="1">
      <c r="A2951" s="152" t="str">
        <f>'Reported burning'!A2951</f>
        <v>313b</v>
      </c>
      <c r="B2951" s="152" t="str">
        <f>'Reported burning'!B2951</f>
        <v>313b.10</v>
      </c>
      <c r="C2951" s="152" t="str">
        <f>'Reported burning'!C2951</f>
        <v>Human, deliberate</v>
      </c>
      <c r="D2951" s="152" t="str">
        <f>'Reported burning'!D2951</f>
        <v>Pasture renewal</v>
      </c>
      <c r="E2951" s="152" t="str">
        <f>'Reported burning'!E2951</f>
        <v>Cattle, Extensive</v>
      </c>
      <c r="F2951" s="152" t="str">
        <f>'Reported burning'!F2951</f>
        <v>Shrubland (Mixed forest &amp; grassland)</v>
      </c>
      <c r="G2951" s="152" t="str">
        <f>'Reported burning'!G2951</f>
        <v>Shrubland (Mixed forest &amp; grassland)</v>
      </c>
      <c r="H2951" s="152" t="str">
        <f>'Reported burning'!H2951</f>
        <v>Presence</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1" t="s">
        <v>2402</v>
      </c>
      <c r="X2951" s="204" t="s">
        <v>38</v>
      </c>
      <c r="Y2951" s="204" t="s">
        <v>425</v>
      </c>
      <c r="Z2951" s="204" t="s">
        <v>64</v>
      </c>
      <c r="AA2951" s="204"/>
      <c r="AB2951" s="204"/>
    </row>
    <row r="2952" spans="1:28" ht="38" customHeight="1">
      <c r="A2952" s="156" t="str">
        <f>'Reported burning'!A2952</f>
        <v>314a</v>
      </c>
      <c r="B2952" s="156" t="str">
        <f>'Reported burning'!B2952</f>
        <v>314a.1</v>
      </c>
      <c r="C2952" s="156" t="str">
        <f>'Reported burning'!C2952</f>
        <v>All</v>
      </c>
      <c r="D2952" s="156" t="str">
        <f>'Reported burning'!D2952</f>
        <v>All</v>
      </c>
      <c r="E2952" s="156" t="str">
        <f>'Reported burning'!E2952</f>
        <v>ND</v>
      </c>
      <c r="F2952" s="156" t="str">
        <f>'Reported burning'!F2952</f>
        <v>ND</v>
      </c>
      <c r="G2952" s="156" t="str">
        <f>'Reported burning'!G2952</f>
        <v>Cropland</v>
      </c>
      <c r="H2952" s="156" t="str">
        <f>'Reported burning'!H2952</f>
        <v>Presence</v>
      </c>
      <c r="I2952" s="5"/>
      <c r="J2952" s="21" t="s">
        <v>2365</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2276</v>
      </c>
      <c r="AA2952" s="204"/>
      <c r="AB2952" s="204"/>
    </row>
    <row r="2953" spans="1:28" ht="38" customHeight="1">
      <c r="A2953" s="156" t="str">
        <f>'Reported burning'!A2953</f>
        <v>314b</v>
      </c>
      <c r="B2953" s="156" t="str">
        <f>'Reported burning'!B2953</f>
        <v>314b.1</v>
      </c>
      <c r="C2953" s="156" t="str">
        <f>'Reported burning'!C2953</f>
        <v>All</v>
      </c>
      <c r="D2953" s="156" t="str">
        <f>'Reported burning'!D2953</f>
        <v>All</v>
      </c>
      <c r="E2953" s="156" t="str">
        <f>'Reported burning'!E2953</f>
        <v>ND</v>
      </c>
      <c r="F2953" s="156" t="str">
        <f>'Reported burning'!F2953</f>
        <v>ND</v>
      </c>
      <c r="G2953" s="156" t="str">
        <f>'Reported burning'!G2953</f>
        <v>Cropland</v>
      </c>
      <c r="H2953" s="156" t="str">
        <f>'Reported burning'!H2953</f>
        <v>Presence</v>
      </c>
      <c r="I2953" s="5"/>
      <c r="J2953" s="21" t="s">
        <v>2366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2276</v>
      </c>
      <c r="AA2953" s="204"/>
      <c r="AB2953" s="204"/>
    </row>
    <row r="2954" spans="1:28" ht="39" customHeight="1">
      <c r="A2954" s="156" t="str">
        <f>'Reported burning'!A2954</f>
        <v>314a</v>
      </c>
      <c r="B2954" s="156" t="str">
        <f>'Reported burning'!B2954</f>
        <v>314a.2</v>
      </c>
      <c r="C2954" s="156" t="str">
        <f>'Reported burning'!C2954</f>
        <v>All</v>
      </c>
      <c r="D2954" s="156" t="str">
        <f>'Reported burning'!D2954</f>
        <v>All</v>
      </c>
      <c r="E2954" s="156" t="str">
        <f>'Reported burning'!E2954</f>
        <v>ND</v>
      </c>
      <c r="F2954" s="156" t="str">
        <f>'Reported burning'!F2954</f>
        <v>ND</v>
      </c>
      <c r="G2954" s="156" t="str">
        <f>'Reported burning'!G2954</f>
        <v>Grassland</v>
      </c>
      <c r="H2954" s="156" t="str">
        <f>'Reported burning'!H2954</f>
        <v>Presence</v>
      </c>
      <c r="I2954" s="5"/>
      <c r="J2954" s="21" t="s">
        <v>2366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04" t="s">
        <v>2276</v>
      </c>
      <c r="Y2954" s="204" t="s">
        <v>2276</v>
      </c>
      <c r="Z2954" s="204" t="s">
        <v>2276</v>
      </c>
      <c r="AA2954" s="204"/>
      <c r="AB2954" s="204"/>
    </row>
    <row r="2955" spans="1:28" ht="39" customHeight="1">
      <c r="A2955" s="156" t="str">
        <f>'Reported burning'!A2955</f>
        <v>314b</v>
      </c>
      <c r="B2955" s="156" t="str">
        <f>'Reported burning'!B2955</f>
        <v>314b.2</v>
      </c>
      <c r="C2955" s="156" t="str">
        <f>'Reported burning'!C2955</f>
        <v>All</v>
      </c>
      <c r="D2955" s="156" t="str">
        <f>'Reported burning'!D2955</f>
        <v>All</v>
      </c>
      <c r="E2955" s="156" t="str">
        <f>'Reported burning'!E2955</f>
        <v>ND</v>
      </c>
      <c r="F2955" s="156" t="str">
        <f>'Reported burning'!F2955</f>
        <v>ND</v>
      </c>
      <c r="G2955" s="156" t="str">
        <f>'Reported burning'!G2955</f>
        <v>Grassland</v>
      </c>
      <c r="H2955" s="156" t="str">
        <f>'Reported burning'!H2955</f>
        <v>Presence</v>
      </c>
      <c r="I2955" s="5"/>
      <c r="J2955" s="21" t="s">
        <v>2367</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2276</v>
      </c>
      <c r="AA2955" s="204"/>
      <c r="AB2955" s="204"/>
    </row>
    <row r="2956" spans="1:28" ht="39" customHeight="1">
      <c r="A2956" s="156" t="str">
        <f>'Reported burning'!A2956</f>
        <v>314b</v>
      </c>
      <c r="B2956" s="156" t="str">
        <f>'Reported burning'!B2956</f>
        <v>314b.3</v>
      </c>
      <c r="C2956" s="156" t="str">
        <f>'Reported burning'!C2956</f>
        <v>Human, deliberate</v>
      </c>
      <c r="D2956" s="156" t="str">
        <f>'Reported burning'!D2956</f>
        <v>Pasture renewal</v>
      </c>
      <c r="E2956" s="156" t="str">
        <f>'Reported burning'!E2956</f>
        <v>Cattle, Intensive</v>
      </c>
      <c r="F2956" s="156" t="str">
        <f>'Reported burning'!F2956</f>
        <v>Grassland</v>
      </c>
      <c r="G2956" s="156" t="str">
        <f>'Reported burning'!G2956</f>
        <v>Grassland</v>
      </c>
      <c r="H2956" s="156" t="str">
        <f>'Reported burning'!H2956</f>
        <v>Presence</v>
      </c>
      <c r="I2956" s="5"/>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04" t="s">
        <v>2276</v>
      </c>
      <c r="Z2956" s="204" t="s">
        <v>2276</v>
      </c>
      <c r="AA2956" s="204"/>
      <c r="AB2956" s="204"/>
    </row>
    <row r="2957" spans="1:28" ht="39" customHeight="1">
      <c r="A2957" s="156" t="str">
        <f>'Reported burning'!A2957</f>
        <v>314b</v>
      </c>
      <c r="B2957" s="156" t="str">
        <f>'Reported burning'!B2957</f>
        <v>314b.4</v>
      </c>
      <c r="C2957" s="156" t="str">
        <f>'Reported burning'!C2957</f>
        <v>Human, deliberate</v>
      </c>
      <c r="D2957" s="156" t="str">
        <f>'Reported burning'!D2957</f>
        <v>Crop residue burning</v>
      </c>
      <c r="E2957" s="156" t="str">
        <f>'Reported burning'!E2957</f>
        <v>Cropping, Intensive</v>
      </c>
      <c r="F2957" s="156" t="str">
        <f>'Reported burning'!F2957</f>
        <v>Cropland</v>
      </c>
      <c r="G2957" s="156" t="str">
        <f>'Reported burning'!G2957</f>
        <v>Cropland</v>
      </c>
      <c r="H2957" s="156" t="str">
        <f>'Reported burning'!H2957</f>
        <v>Presence</v>
      </c>
      <c r="I2957" s="5"/>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c r="AB2957" s="204"/>
    </row>
    <row r="2958" spans="1:28" ht="39" customHeight="1">
      <c r="A2958" s="156" t="str">
        <f>'Reported burning'!A2958</f>
        <v>314b</v>
      </c>
      <c r="B2958" s="156" t="str">
        <f>'Reported burning'!B2958</f>
        <v>314b.5</v>
      </c>
      <c r="C2958" s="156" t="str">
        <f>'Reported burning'!C2958</f>
        <v>All</v>
      </c>
      <c r="D2958" s="156" t="str">
        <f>'Reported burning'!D2958</f>
        <v>All</v>
      </c>
      <c r="E2958" s="156" t="str">
        <f>'Reported burning'!E2958</f>
        <v>Abandoned agricultural land</v>
      </c>
      <c r="F2958" s="156" t="str">
        <f>'Reported burning'!F2958</f>
        <v>Grassland</v>
      </c>
      <c r="G2958" s="156" t="str">
        <f>'Reported burning'!G2958</f>
        <v>Grassland</v>
      </c>
      <c r="H2958" s="156" t="str">
        <f>'Reported burning'!H2958</f>
        <v>Presence</v>
      </c>
      <c r="I2958" s="5"/>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2276</v>
      </c>
      <c r="AA2958" s="204"/>
      <c r="AB2958" s="204"/>
    </row>
    <row r="2959" spans="1:28" ht="39" customHeight="1">
      <c r="A2959" s="156" t="str">
        <f>'Reported burning'!A2959</f>
        <v>315a</v>
      </c>
      <c r="B2959" s="156" t="str">
        <f>'Reported burning'!B2959</f>
        <v>315a.1</v>
      </c>
      <c r="C2959" s="156" t="str">
        <f>'Reported burning'!C2959</f>
        <v>Human, deliberate</v>
      </c>
      <c r="D2959" s="156" t="str">
        <f>'Reported burning'!D2959</f>
        <v>Pasture renewal</v>
      </c>
      <c r="E2959" s="156" t="str">
        <f>'Reported burning'!E2959</f>
        <v>Cattle, Intensive</v>
      </c>
      <c r="F2959" s="156" t="str">
        <f>'Reported burning'!F2959</f>
        <v>Pasture</v>
      </c>
      <c r="G2959" s="156" t="str">
        <f>'Reported burning'!G2959</f>
        <v>Pasture</v>
      </c>
      <c r="H2959" s="156" t="str">
        <f>'Reported burning'!H2959</f>
        <v>Presence</v>
      </c>
      <c r="I2959" s="5"/>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c r="AB2959" s="204"/>
    </row>
    <row r="2960" spans="1:28" ht="40.5" customHeight="1">
      <c r="A2960" s="156" t="str">
        <f>'Reported burning'!A2960</f>
        <v>315a</v>
      </c>
      <c r="B2960" s="156" t="str">
        <f>'Reported burning'!B2960</f>
        <v>315a.2</v>
      </c>
      <c r="C2960" s="156" t="str">
        <f>'Reported burning'!C2960</f>
        <v>Human, deliberate</v>
      </c>
      <c r="D2960" s="156" t="str">
        <f>'Reported burning'!D2960</f>
        <v>Rangeland management</v>
      </c>
      <c r="E2960" s="156" t="str">
        <f>'Reported burning'!E2960</f>
        <v>Cattle, Intensive</v>
      </c>
      <c r="F2960" s="156" t="str">
        <f>'Reported burning'!F2960</f>
        <v>Shrubland (Mixed forest &amp; grassland)</v>
      </c>
      <c r="G2960" s="156" t="str">
        <f>'Reported burning'!G2960</f>
        <v>Shrubland (Mixed forest &amp; grassland)</v>
      </c>
      <c r="H2960" s="156" t="str">
        <f>'Reported burning'!H2960</f>
        <v>Presence</v>
      </c>
      <c r="I2960" s="5"/>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c r="AB2960" s="204"/>
    </row>
    <row r="2961" spans="1:28" ht="36.5" customHeight="1">
      <c r="A2961" s="156" t="str">
        <f>'Reported burning'!A2961</f>
        <v>315a</v>
      </c>
      <c r="B2961" s="156" t="str">
        <f>'Reported burning'!B2961</f>
        <v>315a.3</v>
      </c>
      <c r="C2961" s="156" t="str">
        <f>'Reported burning'!C2961</f>
        <v>Human, deliberate</v>
      </c>
      <c r="D2961" s="156" t="str">
        <f>'Reported burning'!D2961</f>
        <v>Pasture renewal</v>
      </c>
      <c r="E2961" s="156" t="str">
        <f>'Reported burning'!E2961</f>
        <v>Cattle, Extensive</v>
      </c>
      <c r="F2961" s="156" t="str">
        <f>'Reported burning'!F2961</f>
        <v>Pasture</v>
      </c>
      <c r="G2961" s="156" t="str">
        <f>'Reported burning'!G2961</f>
        <v>Pasture</v>
      </c>
      <c r="H2961" s="156" t="str">
        <f>'Reported burning'!H2961</f>
        <v>Presence</v>
      </c>
      <c r="I2961" s="5"/>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c r="AB2961" s="204"/>
    </row>
    <row r="2962" spans="1:28" ht="36.5" customHeight="1">
      <c r="A2962" s="156" t="str">
        <f>'Reported burning'!A2962</f>
        <v>315a</v>
      </c>
      <c r="B2962" s="156" t="str">
        <f>'Reported burning'!B2962</f>
        <v>315a.4</v>
      </c>
      <c r="C2962" s="156" t="str">
        <f>'Reported burning'!C2962</f>
        <v>Human, deliberate</v>
      </c>
      <c r="D2962" s="156" t="str">
        <f>'Reported burning'!D2962</f>
        <v>Rangeland management</v>
      </c>
      <c r="E2962" s="156" t="str">
        <f>'Reported burning'!E2962</f>
        <v>Cattle, Extensive</v>
      </c>
      <c r="F2962" s="156" t="str">
        <f>'Reported burning'!F2962</f>
        <v>Shrubland (Mixed forest &amp; grassland)</v>
      </c>
      <c r="G2962" s="156" t="str">
        <f>'Reported burning'!G2962</f>
        <v>Shrubland (Mixed forest &amp; grassland)</v>
      </c>
      <c r="H2962" s="156" t="str">
        <f>'Reported burning'!H2962</f>
        <v>Presence</v>
      </c>
      <c r="I2962" s="5"/>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c r="AB2962" s="204"/>
    </row>
    <row r="2963" spans="1:28" ht="36.5" customHeight="1">
      <c r="A2963" s="156" t="str">
        <f>'Reported burning'!A2963</f>
        <v>316a</v>
      </c>
      <c r="B2963" s="156" t="str">
        <f>'Reported burning'!B2963</f>
        <v>316a.1</v>
      </c>
      <c r="C2963" s="156" t="str">
        <f>'Reported burning'!C2963</f>
        <v>Human, deliberate</v>
      </c>
      <c r="D2963" s="156" t="str">
        <f>'Reported burning'!D2963</f>
        <v>Conservation</v>
      </c>
      <c r="E2963" s="156" t="str">
        <f>'Reported burning'!E2963</f>
        <v>Biodiversity conservation</v>
      </c>
      <c r="F2963" s="156" t="str">
        <f>'Reported burning'!F2963</f>
        <v>Shrubland (Mixed forest &amp; grassland)</v>
      </c>
      <c r="G2963" s="156" t="str">
        <f>'Reported burning'!G2963</f>
        <v>Shrubland (Mixed forest &amp; grassland)</v>
      </c>
      <c r="H2963" s="156" t="str">
        <f>'Reported burning'!H2963</f>
        <v>Presence</v>
      </c>
      <c r="I2963" s="5"/>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c r="AB2963" s="204"/>
    </row>
    <row r="2964" spans="1:28" ht="36.5" customHeight="1">
      <c r="A2964" s="156" t="str">
        <f>'Reported burning'!A2964</f>
        <v>316b</v>
      </c>
      <c r="B2964" s="156" t="str">
        <f>'Reported burning'!B2964</f>
        <v>316b.1</v>
      </c>
      <c r="C2964" s="156" t="str">
        <f>'Reported burning'!C2964</f>
        <v>Human, deliberate</v>
      </c>
      <c r="D2964" s="156" t="str">
        <f>'Reported burning'!D2964</f>
        <v>Conservation</v>
      </c>
      <c r="E2964" s="156" t="str">
        <f>'Reported burning'!E2964</f>
        <v>Biodiversity conservation</v>
      </c>
      <c r="F2964" s="156" t="str">
        <f>'Reported burning'!F2964</f>
        <v>Shrubland (Mixed forest &amp; grassland)</v>
      </c>
      <c r="G2964" s="156" t="str">
        <f>'Reported burning'!G2964</f>
        <v>Shrubland (Mixed forest &amp; grassland)</v>
      </c>
      <c r="H2964" s="156" t="str">
        <f>'Reported burning'!H2964</f>
        <v>Presence</v>
      </c>
      <c r="I2964" s="5"/>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c r="AB2964" s="204"/>
    </row>
    <row r="2965" spans="1:28" ht="30" customHeight="1">
      <c r="A2965" s="156" t="str">
        <f>'Reported burning'!A2965</f>
        <v>316c</v>
      </c>
      <c r="B2965" s="156" t="str">
        <f>'Reported burning'!B2965</f>
        <v>316c.1</v>
      </c>
      <c r="C2965" s="156" t="str">
        <f>'Reported burning'!C2965</f>
        <v>Human, deliberate</v>
      </c>
      <c r="D2965" s="156" t="str">
        <f>'Reported burning'!D2965</f>
        <v>Conservation</v>
      </c>
      <c r="E2965" s="156" t="str">
        <f>'Reported burning'!E2965</f>
        <v>Biodiversity conservation</v>
      </c>
      <c r="F2965" s="156" t="str">
        <f>'Reported burning'!F2965</f>
        <v>Shrubland (Mixed forest &amp; grassland)</v>
      </c>
      <c r="G2965" s="156" t="str">
        <f>'Reported burning'!G2965</f>
        <v>Shrubland (Mixed forest &amp; grassland)</v>
      </c>
      <c r="H2965" s="156" t="str">
        <f>'Reported burning'!H2965</f>
        <v>Presence</v>
      </c>
      <c r="I2965" s="5"/>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30" customHeight="1">
      <c r="A2966" s="156" t="str">
        <f>'Reported burning'!A2966</f>
        <v>317a</v>
      </c>
      <c r="B2966" s="156" t="str">
        <f>'Reported burning'!B2966</f>
        <v>317a.1</v>
      </c>
      <c r="C2966" s="156" t="str">
        <f>'Reported burning'!C2966</f>
        <v>Human, deliberate</v>
      </c>
      <c r="D2966" s="156" t="str">
        <f>'Reported burning'!D2966</f>
        <v>Rangeland management</v>
      </c>
      <c r="E2966" s="156" t="str">
        <f>'Reported burning'!E2966</f>
        <v>Cattle, Extensive</v>
      </c>
      <c r="F2966" s="156" t="str">
        <f>'Reported burning'!F2966</f>
        <v>Shrubland (Mixed forest &amp; grassland)</v>
      </c>
      <c r="G2966" s="156" t="str">
        <f>'Reported burning'!G2966</f>
        <v>Shrubland (Mixed forest &amp; grassland)</v>
      </c>
      <c r="H2966" s="156" t="str">
        <f>'Reported burning'!H2966</f>
        <v>Presence</v>
      </c>
      <c r="I2966" s="5"/>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c r="AB2966" s="204"/>
    </row>
    <row r="2967" spans="1:28" ht="30" customHeight="1">
      <c r="A2967" s="156" t="str">
        <f>'Reported burning'!A2967</f>
        <v>317a</v>
      </c>
      <c r="B2967" s="156" t="str">
        <f>'Reported burning'!B2967</f>
        <v>317a.2</v>
      </c>
      <c r="C2967" s="156" t="str">
        <f>'Reported burning'!C2967</f>
        <v>Human, escaped</v>
      </c>
      <c r="D2967" s="156" t="str">
        <f>'Reported burning'!D2967</f>
        <v>Rangeland management</v>
      </c>
      <c r="E2967" s="156" t="str">
        <f>'Reported burning'!E2967</f>
        <v>Cattle, Extensive</v>
      </c>
      <c r="F2967" s="156" t="str">
        <f>'Reported burning'!F2967</f>
        <v>Shrubland (Mixed forest &amp; grassland)</v>
      </c>
      <c r="G2967" s="156" t="str">
        <f>'Reported burning'!G2967</f>
        <v>Shrubland (Mixed forest &amp; grassland)</v>
      </c>
      <c r="H2967" s="156" t="str">
        <f>'Reported burning'!H2967</f>
        <v>Presence</v>
      </c>
      <c r="I2967" s="5"/>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c r="AB2967" s="204"/>
    </row>
    <row r="2968" spans="1:28" ht="31" customHeight="1">
      <c r="A2968" s="156" t="str">
        <f>'Reported burning'!A2968</f>
        <v>318a</v>
      </c>
      <c r="B2968" s="156" t="str">
        <f>'Reported burning'!B2968</f>
        <v>318a.1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Absence</v>
      </c>
      <c r="I2968" s="5"/>
      <c r="J2968" s="21" t="s">
        <v>2364</v>
      </c>
      <c r="K2968" s="21" t="s">
        <v>2364</v>
      </c>
      <c r="L2968" s="21" t="s">
        <v>2364</v>
      </c>
      <c r="M2968" s="21" t="s">
        <v>2364</v>
      </c>
      <c r="N2968" s="21" t="s">
        <v>2364</v>
      </c>
      <c r="O2968" s="21" t="s">
        <v>2364</v>
      </c>
      <c r="P2968" s="21" t="s">
        <v>2364</v>
      </c>
      <c r="Q2968" s="21" t="s">
        <v>2364</v>
      </c>
      <c r="R2968" s="21" t="s">
        <v>2364</v>
      </c>
      <c r="S2968" s="21" t="s">
        <v>2364</v>
      </c>
      <c r="T2968" s="21" t="s">
        <v>2364</v>
      </c>
      <c r="U2968" s="21" t="s">
        <v>2364</v>
      </c>
      <c r="V2968" s="21" t="s">
        <v>2364</v>
      </c>
      <c r="W2968" s="204" t="s">
        <v>2276</v>
      </c>
      <c r="X2968" s="204" t="s">
        <v>2276</v>
      </c>
      <c r="Y2968" s="204" t="s">
        <v>2276</v>
      </c>
      <c r="Z2968" s="204" t="s">
        <v>2276</v>
      </c>
      <c r="AA2968" s="204"/>
      <c r="AB2968" s="204"/>
    </row>
    <row r="2969" spans="1:28" ht="31" customHeight="1">
      <c r="A2969" s="156" t="str">
        <f>'Reported burning'!A2969</f>
        <v>318b</v>
      </c>
      <c r="B2969" s="156" t="str">
        <f>'Reported burning'!B2969</f>
        <v>318b.1</v>
      </c>
      <c r="C2969" s="156" t="str">
        <f>'Reported burning'!C2969</f>
        <v>Human, deliberate</v>
      </c>
      <c r="D2969" s="156" t="str">
        <f>'Reported burning'!D2969</f>
        <v>Rangeland management</v>
      </c>
      <c r="E2969" s="156" t="str">
        <f>'Reported burning'!E2969</f>
        <v>Cattle, Extensive</v>
      </c>
      <c r="F2969" s="156" t="str">
        <f>'Reported burning'!F2969</f>
        <v>Shrubland (Mixed forest &amp; grassland)</v>
      </c>
      <c r="G2969" s="156" t="str">
        <f>'Reported burning'!G2969</f>
        <v>Shrubland (Mixed forest &amp; 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1" t="s">
        <v>2391</v>
      </c>
      <c r="U2969" s="204" t="s">
        <v>2276</v>
      </c>
      <c r="V2969" s="204" t="s">
        <v>2276</v>
      </c>
      <c r="W2969" s="204" t="s">
        <v>2276</v>
      </c>
      <c r="X2969" s="204" t="s">
        <v>405</v>
      </c>
      <c r="Y2969" s="204" t="s">
        <v>425</v>
      </c>
      <c r="Z2969" s="204" t="s">
        <v>2276</v>
      </c>
      <c r="AA2969" s="204"/>
      <c r="AB2969" s="204"/>
    </row>
    <row r="2970" spans="1:28" ht="42" customHeight="1">
      <c r="A2970" s="156" t="str">
        <f>'Reported burning'!A2970</f>
        <v>318a</v>
      </c>
      <c r="B2970" s="156" t="str">
        <f>'Reported burning'!B2970</f>
        <v>318a.2</v>
      </c>
      <c r="C2970" s="156" t="str">
        <f>'Reported burning'!C2970</f>
        <v>Human, deliberate</v>
      </c>
      <c r="D2970" s="156" t="str">
        <f>'Reported burning'!D2970</f>
        <v>Rangeland management</v>
      </c>
      <c r="E2970" s="156" t="str">
        <f>'Reported burning'!E2970</f>
        <v>Cattle, Extensive</v>
      </c>
      <c r="F2970" s="156" t="str">
        <f>'Reported burning'!F2970</f>
        <v>Shrubland (Mixed forest &amp; grassland)</v>
      </c>
      <c r="G2970" s="156" t="str">
        <f>'Reported burning'!G2970</f>
        <v>Shrubland (Mixed forest &amp; grassland)</v>
      </c>
      <c r="H2970" s="156" t="str">
        <f>'Reported burning'!H2970</f>
        <v>Absence</v>
      </c>
      <c r="I2970" s="5"/>
      <c r="J2970" s="21">
        <v>0</v>
      </c>
      <c r="K2970" s="21">
        <v>0</v>
      </c>
      <c r="L2970" s="21">
        <v>0</v>
      </c>
      <c r="M2970" s="21">
        <v>0</v>
      </c>
      <c r="N2970" s="21">
        <v>0</v>
      </c>
      <c r="O2970" s="21">
        <v>0</v>
      </c>
      <c r="P2970" s="21">
        <v>0</v>
      </c>
      <c r="Q2970" s="21">
        <v>0</v>
      </c>
      <c r="R2970" s="21">
        <v>0</v>
      </c>
      <c r="S2970" s="21">
        <v>0</v>
      </c>
      <c r="T2970" s="21">
        <v>0</v>
      </c>
      <c r="U2970" s="21">
        <v>0</v>
      </c>
      <c r="V2970" s="204" t="s">
        <v>2276</v>
      </c>
      <c r="W2970" s="204" t="s">
        <v>2276</v>
      </c>
      <c r="X2970" s="204" t="s">
        <v>2276</v>
      </c>
      <c r="Y2970" s="204" t="s">
        <v>2276</v>
      </c>
      <c r="Z2970" s="204" t="s">
        <v>2276</v>
      </c>
      <c r="AA2970" s="204"/>
      <c r="AB2970" s="204"/>
    </row>
    <row r="2971" spans="1:28" ht="42" customHeight="1">
      <c r="A2971" s="156" t="str">
        <f>'Reported burning'!A2971</f>
        <v>319a</v>
      </c>
      <c r="B2971" s="156" t="str">
        <f>'Reported burning'!B2971</f>
        <v>319a.1</v>
      </c>
      <c r="C2971" s="156" t="str">
        <f>'Reported burning'!C2971</f>
        <v>Human, deliberate</v>
      </c>
      <c r="D2971" s="156" t="str">
        <f>'Reported burning'!D2971</f>
        <v>Hunting</v>
      </c>
      <c r="E2971" s="156" t="str">
        <f>'Reported burning'!E2971</f>
        <v>Forestry, Traditional</v>
      </c>
      <c r="F2971" s="156" t="str">
        <f>'Reported burning'!F2971</f>
        <v>Shrubland (Mixed forest &amp; grassland)</v>
      </c>
      <c r="G2971" s="156" t="str">
        <f>'Reported burning'!G2971</f>
        <v>Shrubland (Mixed forest &amp; grassland)</v>
      </c>
      <c r="H2971" s="156" t="str">
        <f>'Reported burning'!H2971</f>
        <v>Presence</v>
      </c>
      <c r="I2971" s="5"/>
      <c r="J2971" s="204" t="s">
        <v>2276</v>
      </c>
      <c r="K2971" s="204" t="s">
        <v>2276</v>
      </c>
      <c r="L2971" s="204" t="s">
        <v>2276</v>
      </c>
      <c r="M2971" s="204" t="s">
        <v>2276</v>
      </c>
      <c r="N2971" s="21" t="s">
        <v>2384</v>
      </c>
      <c r="O2971" s="204" t="s">
        <v>2276</v>
      </c>
      <c r="P2971" s="204" t="s">
        <v>2276</v>
      </c>
      <c r="Q2971" s="204" t="s">
        <v>2276</v>
      </c>
      <c r="R2971" s="204" t="s">
        <v>2276</v>
      </c>
      <c r="S2971" s="204" t="s">
        <v>2276</v>
      </c>
      <c r="T2971" s="204" t="s">
        <v>2276</v>
      </c>
      <c r="U2971" s="204" t="s">
        <v>2276</v>
      </c>
      <c r="V2971" s="204" t="s">
        <v>2276</v>
      </c>
      <c r="W2971" s="204" t="s">
        <v>2276</v>
      </c>
      <c r="X2971" s="204" t="s">
        <v>404</v>
      </c>
      <c r="Y2971" s="204" t="s">
        <v>425</v>
      </c>
      <c r="Z2971" s="204" t="s">
        <v>2276</v>
      </c>
      <c r="AA2971" s="204"/>
      <c r="AB2971" s="4" t="s">
        <v>8034</v>
      </c>
    </row>
    <row r="2972" spans="1:28" ht="28" customHeight="1">
      <c r="A2972" s="156" t="str">
        <f>'Reported burning'!A2972</f>
        <v>319a</v>
      </c>
      <c r="B2972" s="156" t="str">
        <f>'Reported burning'!B2972</f>
        <v>319a.2</v>
      </c>
      <c r="C2972" s="156" t="str">
        <f>'Reported burning'!C2972</f>
        <v>Human, deliberate</v>
      </c>
      <c r="D2972" s="156" t="str">
        <f>'Reported burning'!D2972</f>
        <v>Cultural &amp; Spiritual</v>
      </c>
      <c r="E2972" s="156" t="str">
        <f>'Reported burning'!E2972</f>
        <v>Forestry, Traditional</v>
      </c>
      <c r="F2972" s="156" t="str">
        <f>'Reported burning'!F2972</f>
        <v>Shrubland (Mixed forest &amp; grassland)</v>
      </c>
      <c r="G2972" s="156" t="str">
        <f>'Reported burning'!G2972</f>
        <v>Shrubland (Mixed forest &amp; grassland)</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404</v>
      </c>
      <c r="Y2972" s="204" t="s">
        <v>425</v>
      </c>
      <c r="Z2972" s="204" t="s">
        <v>2276</v>
      </c>
      <c r="AA2972" s="204"/>
      <c r="AB2972" s="204"/>
    </row>
    <row r="2973" spans="1:28" ht="52" customHeight="1">
      <c r="A2973" s="156" t="str">
        <f>'Reported burning'!A2973</f>
        <v>320a</v>
      </c>
      <c r="B2973" s="156" t="str">
        <f>'Reported burning'!B2973</f>
        <v>320a.1</v>
      </c>
      <c r="C2973" s="156" t="str">
        <f>'Reported burning'!C2973</f>
        <v>Human, deliberate</v>
      </c>
      <c r="D2973" s="156" t="str">
        <f>'Reported burning'!D2973</f>
        <v>Rangeland management</v>
      </c>
      <c r="E2973" s="156" t="str">
        <f>'Reported burning'!E2973</f>
        <v>Cattle, Intensive</v>
      </c>
      <c r="F2973" s="156" t="str">
        <f>'Reported burning'!F2973</f>
        <v>Shrubland (Mixed forest &amp; grassland)</v>
      </c>
      <c r="G2973" s="156" t="str">
        <f>'Reported burning'!G2973</f>
        <v>Shrubland (Mixed forest &amp; grassland)</v>
      </c>
      <c r="H2973" s="156" t="str">
        <f>'Reported burning'!H2973</f>
        <v>Presence</v>
      </c>
      <c r="I2973" s="5"/>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4" t="s">
        <v>8043</v>
      </c>
      <c r="AB2973" s="204"/>
    </row>
    <row r="2974" spans="1:28" ht="28.5" customHeight="1">
      <c r="A2974" s="156" t="str">
        <f>'Reported burning'!A2974</f>
        <v>320b</v>
      </c>
      <c r="B2974" s="156" t="str">
        <f>'Reported burning'!B2974</f>
        <v>320b.1</v>
      </c>
      <c r="C2974" s="156" t="str">
        <f>'Reported burning'!C2974</f>
        <v>Human, deliberate</v>
      </c>
      <c r="D2974" s="156" t="str">
        <f>'Reported burning'!D2974</f>
        <v>Rangeland management</v>
      </c>
      <c r="E2974" s="156" t="str">
        <f>'Reported burning'!E2974</f>
        <v>Cattle, Extensive</v>
      </c>
      <c r="F2974" s="156" t="str">
        <f>'Reported burning'!F2974</f>
        <v>Shrubland (Mixed forest &amp; grassland)</v>
      </c>
      <c r="G2974" s="156" t="str">
        <f>'Reported burning'!G2974</f>
        <v>Shrubland (Mixed forest &amp; grassland)</v>
      </c>
      <c r="H2974" s="156" t="str">
        <f>'Reported burning'!H2974</f>
        <v>Presence</v>
      </c>
      <c r="I2974" s="5"/>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4" t="s">
        <v>8043</v>
      </c>
      <c r="AB2974" s="204"/>
    </row>
    <row r="2975" spans="1:28" ht="52.5" customHeight="1">
      <c r="A2975" s="156" t="str">
        <f>'Reported burning'!A2975</f>
        <v>321a</v>
      </c>
      <c r="B2975" s="156" t="str">
        <f>'Reported burning'!B2975</f>
        <v>321a.1</v>
      </c>
      <c r="C2975" s="156" t="str">
        <f>'Reported burning'!C2975</f>
        <v>Human, deliberate</v>
      </c>
      <c r="D2975" s="156" t="str">
        <f>'Reported burning'!D2975</f>
        <v>Pasture renewal</v>
      </c>
      <c r="E2975" s="156" t="str">
        <f>'Reported burning'!E2975</f>
        <v>Cattle, Extensive</v>
      </c>
      <c r="F2975" s="156" t="str">
        <f>'Reported burning'!F2975</f>
        <v>Pasture</v>
      </c>
      <c r="G2975" s="156" t="str">
        <f>'Reported burning'!G2975</f>
        <v>Pasture</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c r="AB2975" s="204"/>
    </row>
    <row r="2976" spans="1:28" ht="52.5" customHeight="1">
      <c r="A2976" s="156" t="str">
        <f>'Reported burning'!A2976</f>
        <v>321a</v>
      </c>
      <c r="B2976" s="156" t="str">
        <f>'Reported burning'!B2976</f>
        <v>321a.2</v>
      </c>
      <c r="C2976" s="156" t="str">
        <f>'Reported burning'!C2976</f>
        <v>Human, deliberate</v>
      </c>
      <c r="D2976" s="156" t="str">
        <f>'Reported burning'!D2976</f>
        <v>Forest clearance</v>
      </c>
      <c r="E2976" s="156" t="str">
        <f>'Reported burning'!E2976</f>
        <v>Cattle, Extensive</v>
      </c>
      <c r="F2976" s="156" t="str">
        <f>'Reported burning'!F2976</f>
        <v>Forest</v>
      </c>
      <c r="G2976" s="156" t="str">
        <f>'Reported burning'!G2976</f>
        <v>Forest</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24.5" customHeight="1">
      <c r="A2977" s="156" t="str">
        <f>'Reported burning'!A2977</f>
        <v>321a</v>
      </c>
      <c r="B2977" s="156" t="str">
        <f>'Reported burning'!B2977</f>
        <v>321a.3</v>
      </c>
      <c r="C2977" s="156" t="str">
        <f>'Reported burning'!C2977</f>
        <v>Human, escaped</v>
      </c>
      <c r="D2977" s="156" t="str">
        <f>'Reported burning'!D2977</f>
        <v>Pasture renewal</v>
      </c>
      <c r="E2977" s="156" t="str">
        <f>'Reported burning'!E2977</f>
        <v>Cattle, Extensive</v>
      </c>
      <c r="F2977" s="156" t="str">
        <f>'Reported burning'!F2977</f>
        <v>Pasture</v>
      </c>
      <c r="G2977" s="156" t="str">
        <f>'Reported burning'!G2977</f>
        <v>Forest</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4" t="s">
        <v>8060</v>
      </c>
      <c r="AB2977" s="204"/>
    </row>
    <row r="2978" spans="1:28" ht="24.5" customHeight="1">
      <c r="A2978" s="152" t="str">
        <f>'Reported burning'!A2978</f>
        <v>322a</v>
      </c>
      <c r="B2978" s="152" t="str">
        <f>'Reported burning'!B2978</f>
        <v>322a.1</v>
      </c>
      <c r="C2978" s="152" t="str">
        <f>'Reported burning'!C2978</f>
        <v>Human, deliberate</v>
      </c>
      <c r="D2978" s="152" t="str">
        <f>'Reported burning'!D2978</f>
        <v>Conservation</v>
      </c>
      <c r="E2978" s="152" t="str">
        <f>'Reported burning'!E2978</f>
        <v>Biodiversity conservation</v>
      </c>
      <c r="F2978" s="152" t="str">
        <f>'Reported burning'!F2978</f>
        <v>Shrubland (Mixed forest &amp; grassland)</v>
      </c>
      <c r="G2978" s="152" t="str">
        <f>'Reported burning'!G2978</f>
        <v>Shrubland (Mixed forest &amp; grassland)</v>
      </c>
      <c r="H2978" s="152" t="str">
        <f>'Reported burning'!H2978</f>
        <v>Presence</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4"/>
      <c r="AB2978" s="204"/>
    </row>
    <row r="2979" spans="1:28" ht="38" customHeight="1">
      <c r="A2979" s="152" t="str">
        <f>'Reported burning'!A2979</f>
        <v>323a</v>
      </c>
      <c r="B2979" s="152" t="str">
        <f>'Reported burning'!B2979</f>
        <v>323a.1</v>
      </c>
      <c r="C2979" s="152" t="str">
        <f>'Reported burning'!C2979</f>
        <v>Human, deliberate</v>
      </c>
      <c r="D2979" s="152" t="str">
        <f>'Reported burning'!D2979</f>
        <v>Pasture renewal</v>
      </c>
      <c r="E2979" s="152" t="str">
        <f>'Reported burning'!E2979</f>
        <v>Cattle, Extensive</v>
      </c>
      <c r="F2979" s="152" t="str">
        <f>'Reported burning'!F2979</f>
        <v>Shrubland (Mixed forest &amp; grassland)</v>
      </c>
      <c r="G2979" s="152" t="str">
        <f>'Reported burning'!G2979</f>
        <v>ND</v>
      </c>
      <c r="H2979" s="152" t="str">
        <f>'Reported burning'!H2979</f>
        <v>Presence</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1" t="s">
        <v>2401</v>
      </c>
      <c r="X2979" s="204" t="s">
        <v>2276</v>
      </c>
      <c r="Y2979" s="204" t="s">
        <v>2276</v>
      </c>
      <c r="Z2979" s="204" t="s">
        <v>2276</v>
      </c>
      <c r="AA2979" s="204"/>
      <c r="AB2979" s="204"/>
    </row>
    <row r="2980" spans="1:28" ht="30.5" customHeight="1">
      <c r="A2980" s="152" t="str">
        <f>'Reported burning'!A2980</f>
        <v>324a</v>
      </c>
      <c r="B2980" s="152" t="str">
        <f>'Reported burning'!B2980</f>
        <v>324a.1</v>
      </c>
      <c r="C2980" s="152" t="str">
        <f>'Reported burning'!C2980</f>
        <v>Human, deliberate</v>
      </c>
      <c r="D2980" s="152" t="str">
        <f>'Reported burning'!D2980</f>
        <v>Pasture renewal</v>
      </c>
      <c r="E2980" s="152" t="str">
        <f>'Reported burning'!E2980</f>
        <v>Cattle, Extensive</v>
      </c>
      <c r="F2980" s="152" t="str">
        <f>'Reported burning'!F2980</f>
        <v>Shrubland (Mixed forest &amp; grassland)</v>
      </c>
      <c r="G2980" s="152" t="str">
        <f>'Reported burning'!G2980</f>
        <v>ND</v>
      </c>
      <c r="H2980" s="152" t="str">
        <f>'Reported burning'!H2980</f>
        <v>Presence</v>
      </c>
      <c r="I2980" s="204"/>
      <c r="J2980" s="21" t="s">
        <v>2370</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c r="AB2980" s="4" t="s">
        <v>8080</v>
      </c>
    </row>
    <row r="2981" spans="1:28" ht="39.5" customHeight="1">
      <c r="A2981" s="152" t="str">
        <f>'Reported burning'!A2981</f>
        <v>324a</v>
      </c>
      <c r="B2981" s="152" t="str">
        <f>'Reported burning'!B2981</f>
        <v>324a.2</v>
      </c>
      <c r="C2981" s="152" t="str">
        <f>'Reported burning'!C2981</f>
        <v>Human, deliberate</v>
      </c>
      <c r="D2981" s="152" t="str">
        <f>'Reported burning'!D2981</f>
        <v>Pasture renewal</v>
      </c>
      <c r="E2981" s="152" t="str">
        <f>'Reported burning'!E2981</f>
        <v>Mixed cropping-livestock small holder, Market-oriented</v>
      </c>
      <c r="F2981" s="152" t="str">
        <f>'Reported burning'!F2981</f>
        <v>Shrubland (Mixed forest &amp; grassland)</v>
      </c>
      <c r="G2981" s="152" t="str">
        <f>'Reported burning'!G2981</f>
        <v>ND</v>
      </c>
      <c r="H2981" s="152" t="str">
        <f>'Reported burning'!H2981</f>
        <v>Presence</v>
      </c>
      <c r="I2981" s="204"/>
      <c r="J2981" s="21" t="s">
        <v>2370</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04" t="s">
        <v>2276</v>
      </c>
      <c r="W2981" s="204" t="s">
        <v>2276</v>
      </c>
      <c r="X2981" s="204" t="s">
        <v>2276</v>
      </c>
      <c r="Y2981" s="204" t="s">
        <v>2276</v>
      </c>
      <c r="Z2981" s="204" t="s">
        <v>2276</v>
      </c>
      <c r="AA2981" s="204"/>
      <c r="AB2981" s="4" t="s">
        <v>8080</v>
      </c>
    </row>
    <row r="2982" spans="1:28" ht="36.5" customHeight="1">
      <c r="A2982" s="156" t="str">
        <f>'Reported burning'!A2982</f>
        <v>325a</v>
      </c>
      <c r="B2982" s="156" t="str">
        <f>'Reported burning'!B2982</f>
        <v>325a.1</v>
      </c>
      <c r="C2982" s="156" t="str">
        <f>'Reported burning'!C2982</f>
        <v>Human, deliberate</v>
      </c>
      <c r="D2982" s="156" t="str">
        <f>'Reported burning'!D2982</f>
        <v>Rangeland management</v>
      </c>
      <c r="E2982" s="156" t="str">
        <f>'Reported burning'!E2982</f>
        <v>Pastoralism, Migratory</v>
      </c>
      <c r="F2982" s="156" t="str">
        <f>'Reported burning'!F2982</f>
        <v>Shrubland (Mixed forest &amp; grassland)</v>
      </c>
      <c r="G2982" s="156" t="str">
        <f>'Reported burning'!G2982</f>
        <v>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425</v>
      </c>
      <c r="Y2982" s="204" t="s">
        <v>68</v>
      </c>
      <c r="Z2982" s="204" t="s">
        <v>2276</v>
      </c>
      <c r="AA2982" s="204"/>
      <c r="AB2982" s="204"/>
    </row>
    <row r="2983" spans="1:28" ht="36.5" customHeight="1">
      <c r="A2983" s="156" t="str">
        <f>'Reported burning'!A2983</f>
        <v>325a</v>
      </c>
      <c r="B2983" s="156" t="str">
        <f>'Reported burning'!B2983</f>
        <v>325a.2</v>
      </c>
      <c r="C2983" s="156" t="str">
        <f>'Reported burning'!C2983</f>
        <v>Human, deliberate</v>
      </c>
      <c r="D2983" s="156" t="str">
        <f>'Reported burning'!D2983</f>
        <v>Rangeland management</v>
      </c>
      <c r="E2983" s="156" t="str">
        <f>'Reported burning'!E2983</f>
        <v>Mixed cropping-livestock small holder, Subsistence-oriented</v>
      </c>
      <c r="F2983" s="156" t="str">
        <f>'Reported burning'!F2983</f>
        <v>Grassland</v>
      </c>
      <c r="G2983" s="156" t="str">
        <f>'Reported burning'!G2983</f>
        <v>ND</v>
      </c>
      <c r="H2983" s="156" t="str">
        <f>'Reported burning'!H2983</f>
        <v>Absence</v>
      </c>
      <c r="I2983" s="5"/>
      <c r="J2983" s="21">
        <v>0</v>
      </c>
      <c r="K2983" s="21">
        <v>0</v>
      </c>
      <c r="L2983" s="21">
        <v>0</v>
      </c>
      <c r="M2983" s="21">
        <v>0</v>
      </c>
      <c r="N2983" s="21">
        <v>0</v>
      </c>
      <c r="O2983" s="21">
        <v>0</v>
      </c>
      <c r="P2983" s="21">
        <v>0</v>
      </c>
      <c r="Q2983" s="21">
        <v>0</v>
      </c>
      <c r="R2983" s="21">
        <v>0</v>
      </c>
      <c r="S2983" s="21">
        <v>0</v>
      </c>
      <c r="T2983" s="21">
        <v>0</v>
      </c>
      <c r="U2983" s="21">
        <v>0</v>
      </c>
      <c r="V2983" s="21">
        <v>0</v>
      </c>
      <c r="W2983" s="204" t="s">
        <v>2276</v>
      </c>
      <c r="X2983" s="204" t="s">
        <v>425</v>
      </c>
      <c r="Y2983" s="204" t="s">
        <v>68</v>
      </c>
      <c r="Z2983" s="204" t="s">
        <v>2276</v>
      </c>
      <c r="AA2983" s="204"/>
      <c r="AB2983" s="204"/>
    </row>
    <row r="2984" spans="1:28" ht="31" customHeight="1">
      <c r="A2984" s="156" t="str">
        <f>'Reported burning'!A2984</f>
        <v>325b</v>
      </c>
      <c r="B2984" s="156" t="str">
        <f>'Reported burning'!B2984</f>
        <v>325b.1</v>
      </c>
      <c r="C2984" s="156" t="str">
        <f>'Reported burning'!C2984</f>
        <v>Human, deliberate</v>
      </c>
      <c r="D2984" s="156" t="str">
        <f>'Reported burning'!D2984</f>
        <v>Rangeland management</v>
      </c>
      <c r="E2984" s="156" t="str">
        <f>'Reported burning'!E2984</f>
        <v>Pastoralism, Migratory</v>
      </c>
      <c r="F2984" s="156" t="str">
        <f>'Reported burning'!F2984</f>
        <v>Shrubland (Mixed forest &amp; grassland)</v>
      </c>
      <c r="G2984" s="156" t="str">
        <f>'Reported burning'!G2984</f>
        <v>ND</v>
      </c>
      <c r="H2984" s="156" t="str">
        <f>'Reported burning'!H2984</f>
        <v>Presence</v>
      </c>
      <c r="I2984" s="5"/>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425</v>
      </c>
      <c r="Y2984" s="204" t="s">
        <v>68</v>
      </c>
      <c r="Z2984" s="204" t="s">
        <v>2276</v>
      </c>
      <c r="AA2984" s="204"/>
      <c r="AB2984" s="204"/>
    </row>
    <row r="2985" spans="1:28" ht="31" customHeight="1">
      <c r="A2985" s="156" t="str">
        <f>'Reported burning'!A2985</f>
        <v>325b</v>
      </c>
      <c r="B2985" s="156" t="str">
        <f>'Reported burning'!B2985</f>
        <v>325b.2</v>
      </c>
      <c r="C2985" s="156" t="str">
        <f>'Reported burning'!C2985</f>
        <v>Human, deliberate</v>
      </c>
      <c r="D2985" s="156" t="str">
        <f>'Reported burning'!D2985</f>
        <v>Rangeland management</v>
      </c>
      <c r="E2985" s="156" t="str">
        <f>'Reported burning'!E2985</f>
        <v>Mixed cropping-livestock small holder, Subsistence-oriented</v>
      </c>
      <c r="F2985" s="156" t="str">
        <f>'Reported burning'!F2985</f>
        <v>Shrubland (Mixed forest &amp; grassland)</v>
      </c>
      <c r="G2985" s="156" t="str">
        <f>'Reported burning'!G2985</f>
        <v>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425</v>
      </c>
      <c r="Y2985" s="204" t="s">
        <v>68</v>
      </c>
      <c r="Z2985" s="204" t="s">
        <v>2276</v>
      </c>
      <c r="AA2985" s="204"/>
      <c r="AB2985" s="204"/>
    </row>
    <row r="2986" spans="1:28" ht="31" customHeight="1">
      <c r="A2986" s="156" t="str">
        <f>'Reported burning'!A2986</f>
        <v>326a</v>
      </c>
      <c r="B2986" s="156" t="str">
        <f>'Reported burning'!B2986</f>
        <v>326a.1</v>
      </c>
      <c r="C2986" s="156" t="str">
        <f>'Reported burning'!C2986</f>
        <v>Human, deliberate</v>
      </c>
      <c r="D2986" s="156" t="str">
        <f>'Reported burning'!D2986</f>
        <v>Crop field preparation</v>
      </c>
      <c r="E2986" s="156" t="str">
        <f>'Reported burning'!E2986</f>
        <v>Cropping, Monoculture, Subsistence-oriented</v>
      </c>
      <c r="F2986" s="156" t="str">
        <f>'Reported burning'!F2986</f>
        <v>Grassland</v>
      </c>
      <c r="G2986" s="156" t="str">
        <f>'Reported burning'!G2986</f>
        <v>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38</v>
      </c>
      <c r="Y2986" s="204" t="s">
        <v>86</v>
      </c>
      <c r="Z2986" s="5" t="s">
        <v>64</v>
      </c>
      <c r="AA2986" s="5" t="s">
        <v>8101</v>
      </c>
      <c r="AB2986" s="204"/>
    </row>
    <row r="2987" spans="1:28" ht="31" customHeight="1">
      <c r="A2987" s="156" t="str">
        <f>'Reported burning'!A2987</f>
        <v>326a</v>
      </c>
      <c r="B2987" s="156" t="str">
        <f>'Reported burning'!B2987</f>
        <v>326a.2</v>
      </c>
      <c r="C2987" s="156" t="str">
        <f>'Reported burning'!C2987</f>
        <v>Human, deliberate</v>
      </c>
      <c r="D2987" s="156" t="str">
        <f>'Reported burning'!D2987</f>
        <v>Rangeland management</v>
      </c>
      <c r="E2987" s="156" t="str">
        <f>'Reported burning'!E2987</f>
        <v>Cropping, Monoculture, Subsistence-oriented</v>
      </c>
      <c r="F2987" s="156" t="str">
        <f>'Reported burning'!F2987</f>
        <v>Shrubland (Mixed forest &amp; grassland)</v>
      </c>
      <c r="G2987" s="156" t="str">
        <f>'Reported burning'!G2987</f>
        <v>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1" t="s">
        <v>2374</v>
      </c>
      <c r="T2987" s="204" t="s">
        <v>2276</v>
      </c>
      <c r="U2987" s="204" t="s">
        <v>2276</v>
      </c>
      <c r="V2987" s="204" t="s">
        <v>2276</v>
      </c>
      <c r="W2987" s="204" t="s">
        <v>2276</v>
      </c>
      <c r="X2987" s="204" t="s">
        <v>86</v>
      </c>
      <c r="Y2987" s="204" t="s">
        <v>68</v>
      </c>
      <c r="Z2987" s="204" t="s">
        <v>2276</v>
      </c>
      <c r="AA2987" s="19" t="s">
        <v>8103</v>
      </c>
      <c r="AB2987" s="204"/>
    </row>
    <row r="2988" spans="1:28" ht="33" customHeight="1">
      <c r="A2988" s="152" t="str">
        <f>'Reported burning'!A2988</f>
        <v>327a</v>
      </c>
      <c r="B2988" s="152" t="str">
        <f>'Reported burning'!B2988</f>
        <v>327a.1</v>
      </c>
      <c r="C2988" s="152" t="str">
        <f>'Reported burning'!C2988</f>
        <v>Human, deliberate</v>
      </c>
      <c r="D2988" s="152" t="str">
        <f>'Reported burning'!D2988</f>
        <v>Rangeland management</v>
      </c>
      <c r="E2988" s="152" t="str">
        <f>'Reported burning'!E2988</f>
        <v>Cattle, Extensive</v>
      </c>
      <c r="F2988" s="152" t="str">
        <f>'Reported burning'!F2988</f>
        <v>Shrubland (Mixed forest &amp; grassland)</v>
      </c>
      <c r="G2988" s="152" t="str">
        <f>'Reported burning'!G2988</f>
        <v>ND</v>
      </c>
      <c r="H2988" s="152" t="str">
        <f>'Reported burning'!H2988</f>
        <v>Presence</v>
      </c>
      <c r="I2988" s="204"/>
      <c r="J2988" s="21" t="s">
        <v>2369</v>
      </c>
      <c r="K2988" s="204" t="s">
        <v>2276</v>
      </c>
      <c r="L2988" s="204" t="s">
        <v>2276</v>
      </c>
      <c r="M2988" s="204" t="s">
        <v>2276</v>
      </c>
      <c r="N2988" s="204" t="s">
        <v>2276</v>
      </c>
      <c r="O2988" s="21" t="s">
        <v>2377</v>
      </c>
      <c r="P2988" s="204" t="s">
        <v>2276</v>
      </c>
      <c r="Q2988" s="21" t="s">
        <v>2376</v>
      </c>
      <c r="R2988" s="204" t="s">
        <v>2276</v>
      </c>
      <c r="S2988" s="204" t="s">
        <v>2276</v>
      </c>
      <c r="T2988" s="204" t="s">
        <v>2276</v>
      </c>
      <c r="U2988" s="204" t="s">
        <v>2276</v>
      </c>
      <c r="V2988" s="21" t="s">
        <v>2374</v>
      </c>
      <c r="W2988" s="21" t="s">
        <v>2375</v>
      </c>
      <c r="X2988" s="204" t="s">
        <v>127</v>
      </c>
      <c r="Y2988" s="204" t="s">
        <v>38</v>
      </c>
      <c r="Z2988" s="204" t="s">
        <v>2276</v>
      </c>
      <c r="AA2988" s="204"/>
      <c r="AB2988" s="4" t="s">
        <v>8110</v>
      </c>
    </row>
    <row r="2989" spans="1:28" ht="38.5" customHeight="1">
      <c r="A2989" s="152" t="str">
        <f>'Reported burning'!A2989</f>
        <v>327a</v>
      </c>
      <c r="B2989" s="152" t="str">
        <f>'Reported burning'!B2989</f>
        <v>327a.2</v>
      </c>
      <c r="C2989" s="152" t="str">
        <f>'Reported burning'!C2989</f>
        <v>Human, escaped</v>
      </c>
      <c r="D2989" s="152" t="str">
        <f>'Reported burning'!D2989</f>
        <v>Rangeland management</v>
      </c>
      <c r="E2989" s="152" t="str">
        <f>'Reported burning'!E2989</f>
        <v>Cattle, Extensive</v>
      </c>
      <c r="F2989" s="152" t="str">
        <f>'Reported burning'!F2989</f>
        <v>Shrubland (Mixed forest &amp; grassland)</v>
      </c>
      <c r="G2989" s="152" t="str">
        <f>'Reported burning'!G2989</f>
        <v>ND</v>
      </c>
      <c r="H2989" s="152" t="str">
        <f>'Reported burning'!H2989</f>
        <v>Presence</v>
      </c>
      <c r="I2989" s="204"/>
      <c r="J2989" s="21" t="s">
        <v>2367</v>
      </c>
      <c r="K2989" s="204" t="s">
        <v>2276</v>
      </c>
      <c r="L2989" s="204" t="s">
        <v>2276</v>
      </c>
      <c r="M2989" s="204" t="s">
        <v>2276</v>
      </c>
      <c r="N2989" s="21" t="s">
        <v>2380</v>
      </c>
      <c r="O2989" s="204" t="s">
        <v>2276</v>
      </c>
      <c r="P2989" s="21" t="s">
        <v>2379</v>
      </c>
      <c r="Q2989" s="204" t="s">
        <v>2276</v>
      </c>
      <c r="R2989" s="204" t="s">
        <v>2276</v>
      </c>
      <c r="S2989" s="204" t="s">
        <v>2276</v>
      </c>
      <c r="T2989" s="204" t="s">
        <v>2276</v>
      </c>
      <c r="U2989" s="204" t="s">
        <v>2276</v>
      </c>
      <c r="V2989" s="21" t="s">
        <v>2374</v>
      </c>
      <c r="W2989" s="204" t="s">
        <v>2276</v>
      </c>
      <c r="X2989" s="204" t="s">
        <v>127</v>
      </c>
      <c r="Y2989" s="204" t="s">
        <v>38</v>
      </c>
      <c r="Z2989" s="204" t="s">
        <v>2276</v>
      </c>
      <c r="AA2989" s="204"/>
      <c r="AB2989" s="4" t="s">
        <v>8110</v>
      </c>
    </row>
    <row r="2990" spans="1:28" ht="45" customHeight="1">
      <c r="A2990" s="156" t="str">
        <f>'Reported burning'!A2990</f>
        <v>327a</v>
      </c>
      <c r="B2990" s="156" t="str">
        <f>'Reported burning'!B2990</f>
        <v>327a.3</v>
      </c>
      <c r="C2990" s="156" t="str">
        <f>'Reported burning'!C2990</f>
        <v>Human, deliberate</v>
      </c>
      <c r="D2990" s="156" t="str">
        <f>'Reported burning'!D2990</f>
        <v>Conservation</v>
      </c>
      <c r="E2990" s="156" t="str">
        <f>'Reported burning'!E2990</f>
        <v>Biodiversity conservation</v>
      </c>
      <c r="F2990" s="156" t="str">
        <f>'Reported burning'!F2990</f>
        <v>Shrubland (Mixed forest &amp; grassland)</v>
      </c>
      <c r="G2990" s="156" t="str">
        <f>'Reported burning'!G2990</f>
        <v>ND</v>
      </c>
      <c r="H2990" s="156" t="str">
        <f>'Reported burning'!H2990</f>
        <v>Absence</v>
      </c>
      <c r="I2990" s="5"/>
      <c r="J2990" s="21">
        <v>0</v>
      </c>
      <c r="K2990" s="21">
        <v>0</v>
      </c>
      <c r="L2990" s="21">
        <v>0</v>
      </c>
      <c r="M2990" s="21">
        <v>0</v>
      </c>
      <c r="N2990" s="21">
        <v>0</v>
      </c>
      <c r="O2990" s="21">
        <v>0</v>
      </c>
      <c r="P2990" s="21">
        <v>0</v>
      </c>
      <c r="Q2990" s="21">
        <v>0</v>
      </c>
      <c r="R2990" s="21">
        <v>0</v>
      </c>
      <c r="S2990" s="21">
        <v>0</v>
      </c>
      <c r="T2990" s="21">
        <v>0</v>
      </c>
      <c r="U2990" s="21">
        <v>0</v>
      </c>
      <c r="V2990" s="21">
        <v>0</v>
      </c>
      <c r="W2990" s="204" t="s">
        <v>2276</v>
      </c>
      <c r="X2990" s="204" t="s">
        <v>2276</v>
      </c>
      <c r="Y2990" s="204" t="s">
        <v>2276</v>
      </c>
      <c r="Z2990" s="204" t="s">
        <v>2276</v>
      </c>
      <c r="AA2990" s="204"/>
      <c r="AB2990" s="204"/>
    </row>
    <row r="2991" spans="1:28" ht="51" customHeight="1">
      <c r="A2991" s="156" t="str">
        <f>'Reported burning'!A2991</f>
        <v>328a</v>
      </c>
      <c r="B2991" s="156" t="str">
        <f>'Reported burning'!B2991</f>
        <v>328a.1</v>
      </c>
      <c r="C2991" s="156" t="str">
        <f>'Reported burning'!C2991</f>
        <v>All</v>
      </c>
      <c r="D2991" s="156" t="str">
        <f>'Reported burning'!D2991</f>
        <v>All</v>
      </c>
      <c r="E2991" s="156" t="str">
        <f>'Reported burning'!E2991</f>
        <v>All</v>
      </c>
      <c r="F2991" s="156" t="str">
        <f>'Reported burning'!F2991</f>
        <v>All</v>
      </c>
      <c r="G2991" s="156" t="str">
        <f>'Reported burning'!G2991</f>
        <v>Forest</v>
      </c>
      <c r="H2991" s="156" t="str">
        <f>'Reported burning'!H2991</f>
        <v>Presence</v>
      </c>
      <c r="I2991" s="5"/>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c r="AB2991" s="204"/>
    </row>
    <row r="2992" spans="1:28" ht="47.5" customHeight="1">
      <c r="A2992" s="156" t="str">
        <f>'Reported burning'!A2992</f>
        <v>328b</v>
      </c>
      <c r="B2992" s="156" t="str">
        <f>'Reported burning'!B2992</f>
        <v>328b.1</v>
      </c>
      <c r="C2992" s="156" t="str">
        <f>'Reported burning'!C2992</f>
        <v>All</v>
      </c>
      <c r="D2992" s="156" t="str">
        <f>'Reported burning'!D2992</f>
        <v>All</v>
      </c>
      <c r="E2992" s="156" t="str">
        <f>'Reported burning'!E2992</f>
        <v>All</v>
      </c>
      <c r="F2992" s="156" t="str">
        <f>'Reported burning'!F2992</f>
        <v>All</v>
      </c>
      <c r="G2992" s="156" t="str">
        <f>'Reported burning'!G2992</f>
        <v>Forest</v>
      </c>
      <c r="H2992" s="156" t="str">
        <f>'Reported burning'!H2992</f>
        <v>Presence</v>
      </c>
      <c r="I2992" s="5"/>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c r="AB2992" s="204"/>
    </row>
    <row r="2993" spans="1:28" ht="32.5" customHeight="1">
      <c r="A2993" s="156" t="str">
        <f>'Reported burning'!A2993</f>
        <v>328c</v>
      </c>
      <c r="B2993" s="156" t="str">
        <f>'Reported burning'!B2993</f>
        <v>328c.1</v>
      </c>
      <c r="C2993" s="156" t="str">
        <f>'Reported burning'!C2993</f>
        <v>All</v>
      </c>
      <c r="D2993" s="156" t="str">
        <f>'Reported burning'!D2993</f>
        <v>All</v>
      </c>
      <c r="E2993" s="156" t="str">
        <f>'Reported burning'!E2993</f>
        <v>All</v>
      </c>
      <c r="F2993" s="156" t="str">
        <f>'Reported burning'!F2993</f>
        <v>All</v>
      </c>
      <c r="G2993" s="156" t="str">
        <f>'Reported burning'!G2993</f>
        <v>Forest</v>
      </c>
      <c r="H2993" s="156" t="str">
        <f>'Reported burning'!H2993</f>
        <v>Presence</v>
      </c>
      <c r="I2993" s="5"/>
      <c r="J2993" s="204" t="s">
        <v>2276</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204"/>
    </row>
    <row r="2994" spans="1:28" ht="32.5" customHeight="1">
      <c r="A2994" s="156" t="str">
        <f>'Reported burning'!A2994</f>
        <v>328d</v>
      </c>
      <c r="B2994" s="156" t="str">
        <f>'Reported burning'!B2994</f>
        <v>328d.1</v>
      </c>
      <c r="C2994" s="156" t="str">
        <f>'Reported burning'!C2994</f>
        <v>All</v>
      </c>
      <c r="D2994" s="156" t="str">
        <f>'Reported burning'!D2994</f>
        <v>All</v>
      </c>
      <c r="E2994" s="156" t="str">
        <f>'Reported burning'!E2994</f>
        <v>All</v>
      </c>
      <c r="F2994" s="156" t="str">
        <f>'Reported burning'!F2994</f>
        <v>All</v>
      </c>
      <c r="G2994" s="156" t="str">
        <f>'Reported burning'!G2994</f>
        <v>Forest</v>
      </c>
      <c r="H2994" s="156" t="str">
        <f>'Reported burning'!H2994</f>
        <v>Presence</v>
      </c>
      <c r="I2994" s="5"/>
      <c r="J2994" s="204" t="s">
        <v>2276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204"/>
    </row>
    <row r="2995" spans="1:28" ht="32.5" customHeight="1">
      <c r="A2995" s="156" t="str">
        <f>'Reported burning'!A2995</f>
        <v>328a</v>
      </c>
      <c r="B2995" s="156" t="str">
        <f>'Reported burning'!B2995</f>
        <v>328a.2</v>
      </c>
      <c r="C2995" s="156" t="str">
        <f>'Reported burning'!C2995</f>
        <v>Human, escaped</v>
      </c>
      <c r="D2995" s="156" t="str">
        <f>'Reported burning'!D2995</f>
        <v>Land clearance</v>
      </c>
      <c r="E2995" s="156" t="str">
        <f>'Reported burning'!E2995</f>
        <v>Cropping, Monoculture, Market-oriented</v>
      </c>
      <c r="F2995" s="156" t="str">
        <f>'Reported burning'!F2995</f>
        <v>Secondary vegetation</v>
      </c>
      <c r="G2995" s="156" t="str">
        <f>'Reported burning'!G2995</f>
        <v>Forest</v>
      </c>
      <c r="H2995" s="156" t="str">
        <f>'Reported burning'!H2995</f>
        <v>Presence</v>
      </c>
      <c r="I2995" s="5"/>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c r="AB2995" s="204"/>
    </row>
    <row r="2996" spans="1:28" ht="32.5" customHeight="1">
      <c r="A2996" s="156" t="str">
        <f>'Reported burning'!A2996</f>
        <v>328a</v>
      </c>
      <c r="B2996" s="156" t="str">
        <f>'Reported burning'!B2996</f>
        <v>328a.3</v>
      </c>
      <c r="C2996" s="156" t="str">
        <f>'Reported burning'!C2996</f>
        <v>Human, escaped</v>
      </c>
      <c r="D2996" s="156" t="str">
        <f>'Reported burning'!D2996</f>
        <v>Crop residue burning</v>
      </c>
      <c r="E2996" s="156" t="str">
        <f>'Reported burning'!E2996</f>
        <v>Cropping, Monoculture, Market-oriented</v>
      </c>
      <c r="F2996" s="156" t="str">
        <f>'Reported burning'!F2996</f>
        <v>Cropland</v>
      </c>
      <c r="G2996" s="156" t="str">
        <f>'Reported burning'!G2996</f>
        <v>Forest</v>
      </c>
      <c r="H2996" s="156" t="str">
        <f>'Reported burning'!H2996</f>
        <v>Presence</v>
      </c>
      <c r="I2996" s="5"/>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4" t="s">
        <v>8136</v>
      </c>
      <c r="AB2996" s="204"/>
    </row>
    <row r="2997" spans="1:28" ht="32.5" customHeight="1">
      <c r="A2997" s="156" t="str">
        <f>'Reported burning'!A2997</f>
        <v>328a</v>
      </c>
      <c r="B2997" s="156" t="str">
        <f>'Reported burning'!B2997</f>
        <v>328a.4</v>
      </c>
      <c r="C2997" s="156" t="str">
        <f>'Reported burning'!C2997</f>
        <v>Human, accidental</v>
      </c>
      <c r="D2997" s="156" t="str">
        <f>'Reported burning'!D2997</f>
        <v>Accidental</v>
      </c>
      <c r="E2997" s="156" t="str">
        <f>'Reported burning'!E2997</f>
        <v>All</v>
      </c>
      <c r="F2997" s="156" t="str">
        <f>'Reported burning'!F2997</f>
        <v>ND</v>
      </c>
      <c r="G2997" s="156" t="str">
        <f>'Reported burning'!G2997</f>
        <v>Forest</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c r="AB2997" s="204"/>
    </row>
    <row r="2998" spans="1:28" ht="32.5" customHeight="1">
      <c r="A2998" s="156" t="str">
        <f>'Reported burning'!A2998</f>
        <v>328a</v>
      </c>
      <c r="B2998" s="156" t="str">
        <f>'Reported burning'!B2998</f>
        <v>328a.5</v>
      </c>
      <c r="C2998" s="156" t="str">
        <f>'Reported burning'!C2998</f>
        <v>Human, accidental</v>
      </c>
      <c r="D2998" s="156" t="str">
        <f>'Reported burning'!D2998</f>
        <v>Accidental</v>
      </c>
      <c r="E2998" s="156" t="str">
        <f>'Reported burning'!E2998</f>
        <v>Urban planner</v>
      </c>
      <c r="F2998" s="156" t="str">
        <f>'Reported burning'!F2998</f>
        <v>ND</v>
      </c>
      <c r="G2998" s="156" t="str">
        <f>'Reported burning'!G2998</f>
        <v>Forest</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c r="AB2998" s="204"/>
    </row>
    <row r="2999" spans="1:28" ht="32.5" customHeight="1">
      <c r="A2999" s="156" t="str">
        <f>'Reported burning'!A2999</f>
        <v>328a</v>
      </c>
      <c r="B2999" s="156" t="str">
        <f>'Reported burning'!B2999</f>
        <v>328a.6</v>
      </c>
      <c r="C2999" s="156" t="str">
        <f>'Reported burning'!C2999</f>
        <v>Human, deliberate</v>
      </c>
      <c r="D2999" s="156" t="str">
        <f>'Reported burning'!D2999</f>
        <v>Forest clearance</v>
      </c>
      <c r="E2999" s="156" t="str">
        <f>'Reported burning'!E2999</f>
        <v>Cattle, Extensive</v>
      </c>
      <c r="F2999" s="156" t="str">
        <f>'Reported burning'!F2999</f>
        <v>Forest</v>
      </c>
      <c r="G2999" s="156" t="str">
        <f>'Reported burning'!G2999</f>
        <v>Forest</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c r="AB2999" s="204"/>
    </row>
    <row r="3000" spans="1:28" ht="32.5" customHeight="1">
      <c r="A3000" s="156" t="str">
        <f>'Reported burning'!A3000</f>
        <v>328a</v>
      </c>
      <c r="B3000" s="156" t="str">
        <f>'Reported burning'!B3000</f>
        <v>328a.7</v>
      </c>
      <c r="C3000" s="156" t="str">
        <f>'Reported burning'!C3000</f>
        <v>Human, escaped</v>
      </c>
      <c r="D3000" s="156" t="str">
        <f>'Reported burning'!D3000</f>
        <v>Pasture renewal</v>
      </c>
      <c r="E3000" s="156" t="str">
        <f>'Reported burning'!E3000</f>
        <v>Cattle, Extensive</v>
      </c>
      <c r="F3000" s="156" t="str">
        <f>'Reported burning'!F3000</f>
        <v>Pasture</v>
      </c>
      <c r="G3000" s="156" t="str">
        <f>'Reported burning'!G3000</f>
        <v>Forest</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c r="AB3000" s="204"/>
    </row>
    <row r="3001" spans="1:28" ht="32.5" customHeight="1">
      <c r="A3001" s="156" t="str">
        <f>'Reported burning'!A3001</f>
        <v>328a</v>
      </c>
      <c r="B3001" s="156" t="str">
        <f>'Reported burning'!B3001</f>
        <v>328a.8</v>
      </c>
      <c r="C3001" s="156" t="str">
        <f>'Reported burning'!C3001</f>
        <v>Human, deliberate</v>
      </c>
      <c r="D3001" s="156" t="str">
        <f>'Reported burning'!D3001</f>
        <v>Arson</v>
      </c>
      <c r="E3001" s="156" t="str">
        <f>'Reported burning'!E3001</f>
        <v>All</v>
      </c>
      <c r="F3001" s="156" t="str">
        <f>'Reported burning'!F3001</f>
        <v>Cropland</v>
      </c>
      <c r="G3001" s="156" t="str">
        <f>'Reported burning'!G3001</f>
        <v>Forest</v>
      </c>
      <c r="H3001" s="156" t="str">
        <f>'Reported burning'!H3001</f>
        <v>Presence</v>
      </c>
      <c r="I3001" s="5"/>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c r="AB3001" s="204"/>
    </row>
    <row r="3002" spans="1:28" ht="32.5" customHeight="1">
      <c r="A3002" s="156" t="str">
        <f>'Reported burning'!A3002</f>
        <v>328b</v>
      </c>
      <c r="B3002" s="156" t="str">
        <f>'Reported burning'!B3002</f>
        <v>328b.2</v>
      </c>
      <c r="C3002" s="156" t="str">
        <f>'Reported burning'!C3002</f>
        <v>Human, deliberate</v>
      </c>
      <c r="D3002" s="156" t="str">
        <f>'Reported burning'!D3002</f>
        <v>Arson</v>
      </c>
      <c r="E3002" s="156" t="str">
        <f>'Reported burning'!E3002</f>
        <v>Fire suppression agent</v>
      </c>
      <c r="F3002" s="156" t="str">
        <f>'Reported burning'!F3002</f>
        <v>Forest</v>
      </c>
      <c r="G3002" s="156" t="str">
        <f>'Reported burning'!G3002</f>
        <v>Forest</v>
      </c>
      <c r="H3002" s="156" t="str">
        <f>'Reported burning'!H3002</f>
        <v>Presence</v>
      </c>
      <c r="I3002" s="5"/>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c r="AB3002" s="204"/>
    </row>
    <row r="3003" spans="1:28" ht="32.5" customHeight="1">
      <c r="A3003" s="156" t="str">
        <f>'Reported burning'!A3003</f>
        <v>328b</v>
      </c>
      <c r="B3003" s="156" t="str">
        <f>'Reported burning'!B3003</f>
        <v>328b.3</v>
      </c>
      <c r="C3003" s="156" t="str">
        <f>'Reported burning'!C3003</f>
        <v>Human, escaped</v>
      </c>
      <c r="D3003" s="156" t="str">
        <f>'Reported burning'!D3003</f>
        <v>Crop residue burning</v>
      </c>
      <c r="E3003" s="156" t="str">
        <f>'Reported burning'!E3003</f>
        <v>Cropping, Monoculture, Market-oriented</v>
      </c>
      <c r="F3003" s="156" t="str">
        <f>'Reported burning'!F3003</f>
        <v>Cropland</v>
      </c>
      <c r="G3003" s="156" t="str">
        <f>'Reported burning'!G3003</f>
        <v>Forest</v>
      </c>
      <c r="H3003" s="156" t="str">
        <f>'Reported burning'!H3003</f>
        <v>Presence</v>
      </c>
      <c r="I3003" s="5"/>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c r="AB3003" s="204"/>
    </row>
    <row r="3004" spans="1:28" ht="32.5" customHeight="1">
      <c r="A3004" s="156" t="str">
        <f>'Reported burning'!A3004</f>
        <v>328b</v>
      </c>
      <c r="B3004" s="156" t="str">
        <f>'Reported burning'!B3004</f>
        <v>328b.4</v>
      </c>
      <c r="C3004" s="156" t="str">
        <f>'Reported burning'!C3004</f>
        <v>Human, deliberate</v>
      </c>
      <c r="D3004" s="156" t="str">
        <f>'Reported burning'!D3004</f>
        <v>Arson</v>
      </c>
      <c r="E3004" s="156" t="str">
        <f>'Reported burning'!E3004</f>
        <v>Cropping, Monoculture, Market-oriented</v>
      </c>
      <c r="F3004" s="156" t="str">
        <f>'Reported burning'!F3004</f>
        <v>Forest</v>
      </c>
      <c r="G3004" s="156" t="str">
        <f>'Reported burning'!G3004</f>
        <v>Forest</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32.5" customHeight="1">
      <c r="A3005" s="156" t="str">
        <f>'Reported burning'!A3005</f>
        <v>328b</v>
      </c>
      <c r="B3005" s="156" t="str">
        <f>'Reported burning'!B3005</f>
        <v>328b.5</v>
      </c>
      <c r="C3005" s="156" t="str">
        <f>'Reported burning'!C3005</f>
        <v>Human, deliberate</v>
      </c>
      <c r="D3005" s="156" t="str">
        <f>'Reported burning'!D3005</f>
        <v>Arson</v>
      </c>
      <c r="E3005" s="156" t="str">
        <f>'Reported burning'!E3005</f>
        <v>Cropping, Monoculture, Market-oriented</v>
      </c>
      <c r="F3005" s="156" t="str">
        <f>'Reported burning'!F3005</f>
        <v>Cropland</v>
      </c>
      <c r="G3005" s="156" t="str">
        <f>'Reported burning'!G3005</f>
        <v>Forest</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2.5" customHeight="1">
      <c r="A3006" s="156" t="str">
        <f>'Reported burning'!A3006</f>
        <v>328b</v>
      </c>
      <c r="B3006" s="156" t="str">
        <f>'Reported burning'!B3006</f>
        <v>328b.6</v>
      </c>
      <c r="C3006" s="156" t="str">
        <f>'Reported burning'!C3006</f>
        <v>Human, escaped</v>
      </c>
      <c r="D3006" s="156" t="str">
        <f>'Reported burning'!D3006</f>
        <v>Land clearance</v>
      </c>
      <c r="E3006" s="156" t="str">
        <f>'Reported burning'!E3006</f>
        <v>Cropping, Monoculture, Market-oriented</v>
      </c>
      <c r="F3006" s="156" t="str">
        <f>'Reported burning'!F3006</f>
        <v>Secondary vegetation</v>
      </c>
      <c r="G3006" s="156" t="str">
        <f>'Reported burning'!G3006</f>
        <v>Forest</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2.5" customHeight="1">
      <c r="A3007" s="156" t="str">
        <f>'Reported burning'!A3007</f>
        <v>328c</v>
      </c>
      <c r="B3007" s="156" t="str">
        <f>'Reported burning'!B3007</f>
        <v>328c.2</v>
      </c>
      <c r="C3007" s="156" t="str">
        <f>'Reported burning'!C3007</f>
        <v>Human, escaped</v>
      </c>
      <c r="D3007" s="156" t="str">
        <f>'Reported burning'!D3007</f>
        <v>Crop residue burning</v>
      </c>
      <c r="E3007" s="156" t="str">
        <f>'Reported burning'!E3007</f>
        <v>Cropping, Monoculture, Market-oriented</v>
      </c>
      <c r="F3007" s="156" t="str">
        <f>'Reported burning'!F3007</f>
        <v>Cropland</v>
      </c>
      <c r="G3007" s="156" t="str">
        <f>'Reported burning'!G3007</f>
        <v>Forest</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2.5" customHeight="1">
      <c r="A3008" s="156" t="str">
        <f>'Reported burning'!A3008</f>
        <v>328c</v>
      </c>
      <c r="B3008" s="156" t="str">
        <f>'Reported burning'!B3008</f>
        <v>328c.3</v>
      </c>
      <c r="C3008" s="156" t="str">
        <f>'Reported burning'!C3008</f>
        <v>Human, deliberate</v>
      </c>
      <c r="D3008" s="156" t="str">
        <f>'Reported burning'!D3008</f>
        <v>Arson</v>
      </c>
      <c r="E3008" s="156" t="str">
        <f>'Reported burning'!E3008</f>
        <v>Fire suppression agent</v>
      </c>
      <c r="F3008" s="156" t="str">
        <f>'Reported burning'!F3008</f>
        <v>Forest</v>
      </c>
      <c r="G3008" s="156" t="str">
        <f>'Reported burning'!G3008</f>
        <v>Forest</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2.5" customHeight="1">
      <c r="A3009" s="156" t="str">
        <f>'Reported burning'!A3009</f>
        <v>328c</v>
      </c>
      <c r="B3009" s="156" t="str">
        <f>'Reported burning'!B3009</f>
        <v>328c.4</v>
      </c>
      <c r="C3009" s="156" t="str">
        <f>'Reported burning'!C3009</f>
        <v>Lightning</v>
      </c>
      <c r="D3009" s="156" t="str">
        <f>'Reported burning'!D3009</f>
        <v>ND</v>
      </c>
      <c r="E3009" s="156" t="str">
        <f>'Reported burning'!E3009</f>
        <v>ND</v>
      </c>
      <c r="F3009" s="156" t="str">
        <f>'Reported burning'!F3009</f>
        <v>ND</v>
      </c>
      <c r="G3009" s="156" t="str">
        <f>'Reported burning'!G3009</f>
        <v>Forest</v>
      </c>
      <c r="H3009" s="156" t="str">
        <f>'Reported burning'!H3009</f>
        <v>Presence</v>
      </c>
      <c r="I3009" s="5"/>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c r="AB3009" s="204"/>
    </row>
    <row r="3010" spans="1:28" ht="32.5" customHeight="1">
      <c r="A3010" s="156" t="str">
        <f>'Reported burning'!A3010</f>
        <v>328c</v>
      </c>
      <c r="B3010" s="156" t="str">
        <f>'Reported burning'!B3010</f>
        <v>328c.5</v>
      </c>
      <c r="C3010" s="156" t="str">
        <f>'Reported burning'!C3010</f>
        <v>Human, escaped</v>
      </c>
      <c r="D3010" s="156" t="str">
        <f>'Reported burning'!D3010</f>
        <v>Pasture renewal</v>
      </c>
      <c r="E3010" s="156" t="str">
        <f>'Reported burning'!E3010</f>
        <v>Cattle, Extensive</v>
      </c>
      <c r="F3010" s="156" t="str">
        <f>'Reported burning'!F3010</f>
        <v>Pasture</v>
      </c>
      <c r="G3010" s="156" t="str">
        <f>'Reported burning'!G3010</f>
        <v>Forest</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c r="AB3010" s="204"/>
    </row>
    <row r="3011" spans="1:28" ht="32.5" customHeight="1">
      <c r="A3011" s="156" t="str">
        <f>'Reported burning'!A3011</f>
        <v>328c</v>
      </c>
      <c r="B3011" s="156" t="str">
        <f>'Reported burning'!B3011</f>
        <v>328c.6</v>
      </c>
      <c r="C3011" s="156" t="str">
        <f>'Reported burning'!C3011</f>
        <v>Human, deliberate</v>
      </c>
      <c r="D3011" s="156" t="str">
        <f>'Reported burning'!D3011</f>
        <v>Arson</v>
      </c>
      <c r="E3011" s="156" t="str">
        <f>'Reported burning'!E3011</f>
        <v>Cropping, Monoculture, Market-oriented</v>
      </c>
      <c r="F3011" s="156" t="str">
        <f>'Reported burning'!F3011</f>
        <v>Cropland</v>
      </c>
      <c r="G3011" s="156" t="str">
        <f>'Reported burning'!G3011</f>
        <v>Forest</v>
      </c>
      <c r="H3011" s="156" t="str">
        <f>'Reported burning'!H3011</f>
        <v>Presence</v>
      </c>
      <c r="I3011" s="5"/>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c r="AB3011" s="204"/>
    </row>
    <row r="3012" spans="1:28" ht="32.5" customHeight="1">
      <c r="A3012" s="156" t="str">
        <f>'Reported burning'!A3012</f>
        <v>328c</v>
      </c>
      <c r="B3012" s="156" t="str">
        <f>'Reported burning'!B3012</f>
        <v>328c.7</v>
      </c>
      <c r="C3012" s="156" t="str">
        <f>'Reported burning'!C3012</f>
        <v>Human, deliberate</v>
      </c>
      <c r="D3012" s="156" t="str">
        <f>'Reported burning'!D3012</f>
        <v>Arson</v>
      </c>
      <c r="E3012" s="156" t="str">
        <f>'Reported burning'!E3012</f>
        <v>Cattle, Extensive</v>
      </c>
      <c r="F3012" s="156" t="str">
        <f>'Reported burning'!F3012</f>
        <v>Cropland</v>
      </c>
      <c r="G3012" s="156" t="str">
        <f>'Reported burning'!G3012</f>
        <v>Forest</v>
      </c>
      <c r="H3012" s="156" t="str">
        <f>'Reported burning'!H3012</f>
        <v>Presence</v>
      </c>
      <c r="I3012" s="5"/>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c r="AB3012" s="204"/>
    </row>
    <row r="3013" spans="1:28" ht="32.5" customHeight="1">
      <c r="A3013" s="156" t="str">
        <f>'Reported burning'!A3013</f>
        <v>328d</v>
      </c>
      <c r="B3013" s="156" t="str">
        <f>'Reported burning'!B3013</f>
        <v>328d.2</v>
      </c>
      <c r="C3013" s="156" t="str">
        <f>'Reported burning'!C3013</f>
        <v>Human, escaped</v>
      </c>
      <c r="D3013" s="156" t="str">
        <f>'Reported burning'!D3013</f>
        <v>Crop residue burning</v>
      </c>
      <c r="E3013" s="156" t="str">
        <f>'Reported burning'!E3013</f>
        <v>Cropping, Monoculture, Market-oriented</v>
      </c>
      <c r="F3013" s="156" t="str">
        <f>'Reported burning'!F3013</f>
        <v>Cropland</v>
      </c>
      <c r="G3013" s="156" t="str">
        <f>'Reported burning'!G3013</f>
        <v>Forest</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c r="AB3013" s="204"/>
    </row>
    <row r="3014" spans="1:28" ht="32.5" customHeight="1">
      <c r="A3014" s="156" t="str">
        <f>'Reported burning'!A3014</f>
        <v>328d</v>
      </c>
      <c r="B3014" s="156" t="str">
        <f>'Reported burning'!B3014</f>
        <v>328d.3</v>
      </c>
      <c r="C3014" s="156" t="str">
        <f>'Reported burning'!C3014</f>
        <v>Human, escaped</v>
      </c>
      <c r="D3014" s="156" t="str">
        <f>'Reported burning'!D3014</f>
        <v>Land clearance</v>
      </c>
      <c r="E3014" s="156" t="str">
        <f>'Reported burning'!E3014</f>
        <v>Cropping, Monoculture, Market-oriented</v>
      </c>
      <c r="F3014" s="156" t="str">
        <f>'Reported burning'!F3014</f>
        <v>Secondary vegetation</v>
      </c>
      <c r="G3014" s="156" t="str">
        <f>'Reported burning'!G3014</f>
        <v>Forest</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c r="AB3014" s="204"/>
    </row>
    <row r="3015" spans="1:28" ht="32.5" customHeight="1">
      <c r="A3015" s="156" t="str">
        <f>'Reported burning'!A3015</f>
        <v>328d</v>
      </c>
      <c r="B3015" s="156" t="str">
        <f>'Reported burning'!B3015</f>
        <v>328d.4</v>
      </c>
      <c r="C3015" s="156" t="str">
        <f>'Reported burning'!C3015</f>
        <v>Human, deliberate</v>
      </c>
      <c r="D3015" s="156" t="str">
        <f>'Reported burning'!D3015</f>
        <v>Arson</v>
      </c>
      <c r="E3015" s="156" t="str">
        <f>'Reported burning'!E3015</f>
        <v>ND</v>
      </c>
      <c r="F3015" s="156" t="str">
        <f>'Reported burning'!F3015</f>
        <v>Forest</v>
      </c>
      <c r="G3015" s="156" t="str">
        <f>'Reported burning'!G3015</f>
        <v>Forest</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c r="AB3015" s="204"/>
    </row>
    <row r="3016" spans="1:28" ht="32.5" customHeight="1">
      <c r="A3016" s="156" t="str">
        <f>'Reported burning'!A3016</f>
        <v>328d</v>
      </c>
      <c r="B3016" s="156" t="str">
        <f>'Reported burning'!B3016</f>
        <v>328d.5</v>
      </c>
      <c r="C3016" s="156" t="str">
        <f>'Reported burning'!C3016</f>
        <v>Human, escaped</v>
      </c>
      <c r="D3016" s="156" t="str">
        <f>'Reported burning'!D3016</f>
        <v>Pasture renewal</v>
      </c>
      <c r="E3016" s="156" t="str">
        <f>'Reported burning'!E3016</f>
        <v>Cattle, Extensive</v>
      </c>
      <c r="F3016" s="156" t="str">
        <f>'Reported burning'!F3016</f>
        <v>Pasture</v>
      </c>
      <c r="G3016" s="156" t="str">
        <f>'Reported burning'!G3016</f>
        <v>Forest</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32.5" customHeight="1">
      <c r="A3017" s="156" t="str">
        <f>'Reported burning'!A3017</f>
        <v>328d</v>
      </c>
      <c r="B3017" s="156" t="str">
        <f>'Reported burning'!B3017</f>
        <v>328d.6</v>
      </c>
      <c r="C3017" s="156" t="str">
        <f>'Reported burning'!C3017</f>
        <v>Human, deliberate</v>
      </c>
      <c r="D3017" s="156" t="str">
        <f>'Reported burning'!D3017</f>
        <v>Arson</v>
      </c>
      <c r="E3017" s="156" t="str">
        <f>'Reported burning'!E3017</f>
        <v>Cropping, Monoculture, Market-oriented</v>
      </c>
      <c r="F3017" s="156" t="str">
        <f>'Reported burning'!F3017</f>
        <v>Cropland</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32.5" customHeight="1">
      <c r="A3018" s="156" t="str">
        <f>'Reported burning'!A3018</f>
        <v>328d</v>
      </c>
      <c r="B3018" s="156" t="str">
        <f>'Reported burning'!B3018</f>
        <v>328d.7</v>
      </c>
      <c r="C3018" s="156" t="str">
        <f>'Reported burning'!C3018</f>
        <v>Human, accidental</v>
      </c>
      <c r="D3018" s="156" t="str">
        <f>'Reported burning'!D3018</f>
        <v>Accidental</v>
      </c>
      <c r="E3018" s="156" t="str">
        <f>'Reported burning'!E3018</f>
        <v>Urban planner</v>
      </c>
      <c r="F3018" s="156" t="str">
        <f>'Reported burning'!F3018</f>
        <v>ND</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c r="AB3018" s="204"/>
    </row>
    <row r="3019" spans="1:28" ht="32.5" customHeight="1">
      <c r="A3019" s="156" t="str">
        <f>'Reported burning'!A3019</f>
        <v>328d</v>
      </c>
      <c r="B3019" s="156" t="str">
        <f>'Reported burning'!B3019</f>
        <v>328d.8</v>
      </c>
      <c r="C3019" s="156" t="str">
        <f>'Reported burning'!C3019</f>
        <v>Lightning</v>
      </c>
      <c r="D3019" s="156" t="str">
        <f>'Reported burning'!D3019</f>
        <v>ND</v>
      </c>
      <c r="E3019" s="156" t="str">
        <f>'Reported burning'!E3019</f>
        <v>ND</v>
      </c>
      <c r="F3019" s="156" t="str">
        <f>'Reported burning'!F3019</f>
        <v>ND</v>
      </c>
      <c r="G3019" s="156" t="str">
        <f>'Reported burning'!G3019</f>
        <v>Forest</v>
      </c>
      <c r="H3019" s="156" t="str">
        <f>'Reported burning'!H3019</f>
        <v>Presence</v>
      </c>
      <c r="I3019" s="5"/>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c r="AB3019" s="204"/>
    </row>
    <row r="3020" spans="1:28" ht="32.5" customHeight="1">
      <c r="A3020" s="152" t="str">
        <f>'Reported burning'!A3020</f>
        <v>329a</v>
      </c>
      <c r="B3020" s="152" t="str">
        <f>'Reported burning'!B3020</f>
        <v>329a.1</v>
      </c>
      <c r="C3020" s="152" t="str">
        <f>'Reported burning'!C3020</f>
        <v>Human, deliberate</v>
      </c>
      <c r="D3020" s="152" t="str">
        <f>'Reported burning'!D3020</f>
        <v>Hunting</v>
      </c>
      <c r="E3020" s="152" t="str">
        <f>'Reported burning'!E3020</f>
        <v>Forestry, Traditional</v>
      </c>
      <c r="F3020" s="152" t="str">
        <f>'Reported burning'!F3020</f>
        <v>Shrubland (Mixed forest &amp; grassland)</v>
      </c>
      <c r="G3020" s="152" t="str">
        <f>'Reported burning'!G3020</f>
        <v>Shrubland (Mixed forest &amp; grassland)</v>
      </c>
      <c r="H3020" s="152" t="str">
        <f>'Reported burning'!H3020</f>
        <v>Presence</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1" t="s">
        <v>2402</v>
      </c>
      <c r="X3020" s="204" t="s">
        <v>38</v>
      </c>
      <c r="Y3020" s="204" t="s">
        <v>68</v>
      </c>
      <c r="Z3020" s="204" t="s">
        <v>2276</v>
      </c>
      <c r="AA3020" s="204"/>
      <c r="AB3020" s="204" t="s">
        <v>8161</v>
      </c>
    </row>
    <row r="3021" spans="1:28" ht="32.5" customHeight="1">
      <c r="A3021" s="152" t="str">
        <f>'Reported burning'!A3021</f>
        <v>329a</v>
      </c>
      <c r="B3021" s="152" t="str">
        <f>'Reported burning'!B3021</f>
        <v>329a.2</v>
      </c>
      <c r="C3021" s="152" t="str">
        <f>'Reported burning'!C3021</f>
        <v>Lightning</v>
      </c>
      <c r="D3021" s="152" t="str">
        <f>'Reported burning'!D3021</f>
        <v>ND</v>
      </c>
      <c r="E3021" s="152" t="str">
        <f>'Reported burning'!E3021</f>
        <v>ND</v>
      </c>
      <c r="F3021" s="152" t="str">
        <f>'Reported burning'!F3021</f>
        <v>ND</v>
      </c>
      <c r="G3021" s="152" t="str">
        <f>'Reported burning'!G3021</f>
        <v>Shrubland (Mixed forest &amp; grassland)</v>
      </c>
      <c r="H3021" s="152" t="str">
        <f>'Reported burning'!H3021</f>
        <v>Presence</v>
      </c>
      <c r="I3021" s="204"/>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204" t="s">
        <v>7895</v>
      </c>
    </row>
    <row r="3022" spans="1:28" ht="36" customHeight="1">
      <c r="A3022" s="152" t="str">
        <f>'Reported burning'!A3022</f>
        <v>330a</v>
      </c>
      <c r="B3022" s="152" t="str">
        <f>'Reported burning'!B3022</f>
        <v>330a.1</v>
      </c>
      <c r="C3022" s="152" t="str">
        <f>'Reported burning'!C3022</f>
        <v>Human, deliberate</v>
      </c>
      <c r="D3022" s="152" t="str">
        <f>'Reported burning'!D3022</f>
        <v>Pyrome management</v>
      </c>
      <c r="E3022" s="152" t="str">
        <f>'Reported burning'!E3022</f>
        <v>Forestry, Traditional</v>
      </c>
      <c r="F3022" s="152" t="str">
        <f>'Reported burning'!F3022</f>
        <v>Shrubland (Mixed forest &amp; grassland)</v>
      </c>
      <c r="G3022" s="152" t="str">
        <f>'Reported burning'!G3022</f>
        <v>Shrubland (Mixed forest &amp; grassland)</v>
      </c>
      <c r="H3022" s="152" t="str">
        <f>'Reported burning'!H3022</f>
        <v>Presence</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68</v>
      </c>
      <c r="Y3022" s="204" t="s">
        <v>127</v>
      </c>
      <c r="Z3022" s="204" t="s">
        <v>2655</v>
      </c>
      <c r="AA3022" s="204"/>
      <c r="AB3022" s="204"/>
    </row>
    <row r="3023" spans="1:28" ht="34.5" customHeight="1">
      <c r="A3023" s="152" t="str">
        <f>'Reported burning'!A3023</f>
        <v>330a</v>
      </c>
      <c r="B3023" s="152" t="str">
        <f>'Reported burning'!B3023</f>
        <v>330a.2</v>
      </c>
      <c r="C3023" s="152" t="str">
        <f>'Reported burning'!C3023</f>
        <v>Human, deliberate</v>
      </c>
      <c r="D3023" s="152" t="str">
        <f>'Reported burning'!D3023</f>
        <v>Pyrome management</v>
      </c>
      <c r="E3023" s="152" t="str">
        <f>'Reported burning'!E3023</f>
        <v>Cropping, Swidden</v>
      </c>
      <c r="F3023" s="152" t="str">
        <f>'Reported burning'!F3023</f>
        <v>Cropland</v>
      </c>
      <c r="G3023" s="152" t="str">
        <f>'Reported burning'!G3023</f>
        <v>ND</v>
      </c>
      <c r="H3023" s="152" t="str">
        <f>'Reported burning'!H3023</f>
        <v>Presence</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127</v>
      </c>
      <c r="Y3023" s="204" t="s">
        <v>399</v>
      </c>
      <c r="Z3023" s="204" t="s">
        <v>76</v>
      </c>
      <c r="AA3023" s="204"/>
      <c r="AB3023" s="204"/>
    </row>
    <row r="3024" spans="1:28" ht="44" customHeight="1">
      <c r="A3024" s="152" t="str">
        <f>'Reported burning'!A3024</f>
        <v>330a</v>
      </c>
      <c r="B3024" s="152" t="str">
        <f>'Reported burning'!B3024</f>
        <v>330a.3</v>
      </c>
      <c r="C3024" s="152" t="str">
        <f>'Reported burning'!C3024</f>
        <v>Human, deliberate</v>
      </c>
      <c r="D3024" s="152" t="str">
        <f>'Reported burning'!D3024</f>
        <v>Pasture renewal</v>
      </c>
      <c r="E3024" s="152" t="str">
        <f>'Reported burning'!E3024</f>
        <v>Cattle, Extensive</v>
      </c>
      <c r="F3024" s="152" t="str">
        <f>'Reported burning'!F3024</f>
        <v>ND</v>
      </c>
      <c r="G3024" s="152" t="str">
        <f>'Reported burning'!G3024</f>
        <v>Shrubland (Mixed forest &amp; grassland)</v>
      </c>
      <c r="H3024" s="152" t="str">
        <f>'Reported burning'!H3024</f>
        <v>Presence</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68</v>
      </c>
      <c r="Y3024" s="204" t="s">
        <v>127</v>
      </c>
      <c r="Z3024" s="204" t="s">
        <v>2276</v>
      </c>
      <c r="AA3024" s="204"/>
      <c r="AB3024" s="204"/>
    </row>
    <row r="3025" spans="1:28" ht="44" customHeight="1">
      <c r="A3025" s="152" t="str">
        <f>'Reported burning'!A3025</f>
        <v>330a</v>
      </c>
      <c r="B3025" s="152" t="str">
        <f>'Reported burning'!B3025</f>
        <v>330a.4</v>
      </c>
      <c r="C3025" s="152" t="str">
        <f>'Reported burning'!C3025</f>
        <v>Human, deliberate</v>
      </c>
      <c r="D3025" s="152" t="str">
        <f>'Reported burning'!D3025</f>
        <v>Hunting</v>
      </c>
      <c r="E3025" s="152" t="str">
        <f>'Reported burning'!E3025</f>
        <v>Forestry, Traditional</v>
      </c>
      <c r="F3025" s="152" t="str">
        <f>'Reported burning'!F3025</f>
        <v>ND</v>
      </c>
      <c r="G3025" s="152" t="str">
        <f>'Reported burning'!G3025</f>
        <v>Shrubland (Mixed forest &amp; grassland)</v>
      </c>
      <c r="H3025" s="152" t="str">
        <f>'Reported burning'!H3025</f>
        <v>Presence</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127</v>
      </c>
      <c r="Y3025" s="204" t="s">
        <v>127</v>
      </c>
      <c r="Z3025" s="204" t="s">
        <v>2276</v>
      </c>
      <c r="AA3025" s="204"/>
      <c r="AB3025" s="204"/>
    </row>
    <row r="3026" spans="1:28" ht="44" customHeight="1">
      <c r="A3026" s="152" t="str">
        <f>'Reported burning'!A3026</f>
        <v>330a</v>
      </c>
      <c r="B3026" s="152" t="str">
        <f>'Reported burning'!B3026</f>
        <v>330a.5</v>
      </c>
      <c r="C3026" s="152" t="str">
        <f>'Reported burning'!C3026</f>
        <v>All</v>
      </c>
      <c r="D3026" s="152" t="str">
        <f>'Reported burning'!D3026</f>
        <v>All</v>
      </c>
      <c r="E3026" s="152" t="str">
        <f>'Reported burning'!E3026</f>
        <v>All</v>
      </c>
      <c r="F3026" s="152" t="str">
        <f>'Reported burning'!F3026</f>
        <v>ND</v>
      </c>
      <c r="G3026" s="152" t="str">
        <f>'Reported burning'!G3026</f>
        <v>Shrubland (Mixed forest &amp; grassland)</v>
      </c>
      <c r="H3026" s="152" t="str">
        <f>'Reported burning'!H3026</f>
        <v>Presence</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1" t="s">
        <v>2376</v>
      </c>
      <c r="W3026" s="204" t="s">
        <v>2276</v>
      </c>
      <c r="X3026" s="204" t="s">
        <v>68</v>
      </c>
      <c r="Y3026" s="204" t="s">
        <v>68</v>
      </c>
      <c r="Z3026" s="204" t="s">
        <v>2276</v>
      </c>
      <c r="AA3026" s="204"/>
      <c r="AB3026" s="204"/>
    </row>
    <row r="3027" spans="1:28" ht="44" customHeight="1">
      <c r="A3027" s="152" t="str">
        <f>'Reported burning'!A3027</f>
        <v>330a</v>
      </c>
      <c r="B3027" s="152" t="str">
        <f>'Reported burning'!B3027</f>
        <v>330a.6</v>
      </c>
      <c r="C3027" s="152" t="str">
        <f>'Reported burning'!C3027</f>
        <v>All</v>
      </c>
      <c r="D3027" s="152" t="str">
        <f>'Reported burning'!D3027</f>
        <v>All</v>
      </c>
      <c r="E3027" s="152" t="str">
        <f>'Reported burning'!E3027</f>
        <v>All</v>
      </c>
      <c r="F3027" s="152" t="str">
        <f>'Reported burning'!F3027</f>
        <v>ND</v>
      </c>
      <c r="G3027" s="152" t="str">
        <f>'Reported burning'!G3027</f>
        <v>Shrubland (Mixed forest &amp; grassland)</v>
      </c>
      <c r="H3027" s="152" t="str">
        <f>'Reported burning'!H3027</f>
        <v>Presence</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1" t="s">
        <v>2374</v>
      </c>
      <c r="W3027" s="204" t="s">
        <v>2276</v>
      </c>
      <c r="X3027" s="204" t="s">
        <v>35</v>
      </c>
      <c r="Y3027" s="204" t="s">
        <v>35</v>
      </c>
      <c r="Z3027" s="204" t="s">
        <v>2276</v>
      </c>
      <c r="AA3027" s="204"/>
      <c r="AB3027" s="204"/>
    </row>
    <row r="3028" spans="1:28" ht="44" customHeight="1">
      <c r="A3028" s="152" t="str">
        <f>'Reported burning'!A3028</f>
        <v>330a</v>
      </c>
      <c r="B3028" s="152" t="str">
        <f>'Reported burning'!B3028</f>
        <v>330a.7</v>
      </c>
      <c r="C3028" s="152" t="str">
        <f>'Reported burning'!C3028</f>
        <v>All</v>
      </c>
      <c r="D3028" s="152" t="str">
        <f>'Reported burning'!D3028</f>
        <v>All</v>
      </c>
      <c r="E3028" s="152" t="str">
        <f>'Reported burning'!E3028</f>
        <v>All</v>
      </c>
      <c r="F3028" s="152" t="str">
        <f>'Reported burning'!F3028</f>
        <v>ND</v>
      </c>
      <c r="G3028" s="152" t="str">
        <f>'Reported burning'!G3028</f>
        <v>Shrubland (Mixed forest &amp; grassland)</v>
      </c>
      <c r="H3028" s="152" t="str">
        <f>'Reported burning'!H3028</f>
        <v>Presence</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1" t="s">
        <v>2376</v>
      </c>
      <c r="W3028" s="204" t="s">
        <v>2276</v>
      </c>
      <c r="X3028" s="204" t="s">
        <v>127</v>
      </c>
      <c r="Y3028" s="204" t="s">
        <v>127</v>
      </c>
      <c r="Z3028" s="204" t="s">
        <v>2276</v>
      </c>
      <c r="AA3028" s="204"/>
      <c r="AB3028" s="204"/>
    </row>
    <row r="3029" spans="1:28" ht="44" customHeight="1">
      <c r="A3029" s="152" t="str">
        <f>'Reported burning'!A3029</f>
        <v>330a</v>
      </c>
      <c r="B3029" s="152" t="str">
        <f>'Reported burning'!B3029</f>
        <v>330a.8</v>
      </c>
      <c r="C3029" s="152" t="str">
        <f>'Reported burning'!C3029</f>
        <v>All</v>
      </c>
      <c r="D3029" s="152" t="str">
        <f>'Reported burning'!D3029</f>
        <v>All</v>
      </c>
      <c r="E3029" s="152" t="str">
        <f>'Reported burning'!E3029</f>
        <v>All</v>
      </c>
      <c r="F3029" s="152" t="str">
        <f>'Reported burning'!F3029</f>
        <v>ND</v>
      </c>
      <c r="G3029" s="152" t="str">
        <f>'Reported burning'!G3029</f>
        <v>Shrubland (Mixed forest &amp; grassland)</v>
      </c>
      <c r="H3029" s="152" t="str">
        <f>'Reported burning'!H3029</f>
        <v>Presence</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1" t="s">
        <v>2374</v>
      </c>
      <c r="W3029" s="204" t="s">
        <v>2276</v>
      </c>
      <c r="X3029" s="204" t="s">
        <v>399</v>
      </c>
      <c r="Y3029" s="204" t="s">
        <v>399</v>
      </c>
      <c r="Z3029" s="204" t="s">
        <v>2276</v>
      </c>
      <c r="AA3029" s="204"/>
      <c r="AB3029" s="204"/>
    </row>
    <row r="3030" spans="1:28" ht="44" customHeight="1">
      <c r="A3030" s="152" t="str">
        <f>'Reported burning'!A3030</f>
        <v>330a</v>
      </c>
      <c r="B3030" s="152" t="str">
        <f>'Reported burning'!B3030</f>
        <v>330a.9</v>
      </c>
      <c r="C3030" s="152" t="str">
        <f>'Reported burning'!C3030</f>
        <v>All</v>
      </c>
      <c r="D3030" s="152" t="str">
        <f>'Reported burning'!D3030</f>
        <v>All</v>
      </c>
      <c r="E3030" s="152" t="str">
        <f>'Reported burning'!E3030</f>
        <v>All</v>
      </c>
      <c r="F3030" s="152" t="str">
        <f>'Reported burning'!F3030</f>
        <v>ND</v>
      </c>
      <c r="G3030" s="152" t="str">
        <f>'Reported burning'!G3030</f>
        <v>Shrubland (Mixed forest &amp; grassland)</v>
      </c>
      <c r="H3030" s="152" t="str">
        <f>'Reported burning'!H3030</f>
        <v>Presence</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1" t="s">
        <v>2374</v>
      </c>
      <c r="W3030" s="204" t="s">
        <v>2276</v>
      </c>
      <c r="X3030" s="204" t="s">
        <v>188</v>
      </c>
      <c r="Y3030" s="204" t="s">
        <v>188</v>
      </c>
      <c r="Z3030" s="204" t="s">
        <v>2276</v>
      </c>
      <c r="AA3030" s="204"/>
      <c r="AB3030" s="204"/>
    </row>
    <row r="3031" spans="1:28" ht="44" customHeight="1">
      <c r="A3031" s="152" t="str">
        <f>'Reported burning'!A3031</f>
        <v>330a</v>
      </c>
      <c r="B3031" s="152" t="str">
        <f>'Reported burning'!B3031</f>
        <v>330a.10</v>
      </c>
      <c r="C3031" s="152" t="str">
        <f>'Reported burning'!C3031</f>
        <v>All</v>
      </c>
      <c r="D3031" s="152" t="str">
        <f>'Reported burning'!D3031</f>
        <v>All</v>
      </c>
      <c r="E3031" s="152" t="str">
        <f>'Reported burning'!E3031</f>
        <v>All</v>
      </c>
      <c r="F3031" s="152" t="str">
        <f>'Reported burning'!F3031</f>
        <v>ND</v>
      </c>
      <c r="G3031" s="152" t="str">
        <f>'Reported burning'!G3031</f>
        <v>Shrubland (Mixed forest &amp; grassland)</v>
      </c>
      <c r="H3031" s="152" t="str">
        <f>'Reported burning'!H3031</f>
        <v>Presence</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1" t="s">
        <v>2527</v>
      </c>
      <c r="W3031" s="204" t="s">
        <v>2276</v>
      </c>
      <c r="X3031" s="204" t="s">
        <v>189</v>
      </c>
      <c r="Y3031" s="204" t="s">
        <v>189</v>
      </c>
      <c r="Z3031" s="204" t="s">
        <v>2276</v>
      </c>
      <c r="AA3031" s="204"/>
      <c r="AB3031" s="204"/>
    </row>
    <row r="3032" spans="1:28" ht="44" customHeight="1">
      <c r="A3032" s="152" t="str">
        <f>'Reported burning'!A3032</f>
        <v>330b</v>
      </c>
      <c r="B3032" s="152" t="str">
        <f>'Reported burning'!B3032</f>
        <v>330b.1</v>
      </c>
      <c r="C3032" s="152" t="str">
        <f>'Reported burning'!C3032</f>
        <v>All</v>
      </c>
      <c r="D3032" s="152" t="str">
        <f>'Reported burning'!D3032</f>
        <v>All</v>
      </c>
      <c r="E3032" s="152" t="str">
        <f>'Reported burning'!E3032</f>
        <v>All</v>
      </c>
      <c r="F3032" s="152" t="str">
        <f>'Reported burning'!F3032</f>
        <v>ND</v>
      </c>
      <c r="G3032" s="152" t="str">
        <f>'Reported burning'!G3032</f>
        <v>Shrubland (Mixed forest &amp; grassland)</v>
      </c>
      <c r="H3032" s="152" t="str">
        <f>'Reported burning'!H3032</f>
        <v>Presence</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1" t="s">
        <v>2527</v>
      </c>
      <c r="W3032" s="204" t="s">
        <v>2276</v>
      </c>
      <c r="X3032" s="204" t="s">
        <v>68</v>
      </c>
      <c r="Y3032" s="204" t="s">
        <v>68</v>
      </c>
      <c r="Z3032" s="204" t="s">
        <v>2276</v>
      </c>
      <c r="AA3032" s="204"/>
      <c r="AB3032" s="204"/>
    </row>
    <row r="3033" spans="1:28" ht="44" customHeight="1">
      <c r="A3033" s="152" t="str">
        <f>'Reported burning'!A3033</f>
        <v>330b</v>
      </c>
      <c r="B3033" s="152" t="str">
        <f>'Reported burning'!B3033</f>
        <v>330b.2</v>
      </c>
      <c r="C3033" s="152" t="str">
        <f>'Reported burning'!C3033</f>
        <v>All</v>
      </c>
      <c r="D3033" s="152" t="str">
        <f>'Reported burning'!D3033</f>
        <v>All</v>
      </c>
      <c r="E3033" s="152" t="str">
        <f>'Reported burning'!E3033</f>
        <v>All</v>
      </c>
      <c r="F3033" s="152" t="str">
        <f>'Reported burning'!F3033</f>
        <v>ND</v>
      </c>
      <c r="G3033" s="152" t="str">
        <f>'Reported burning'!G3033</f>
        <v>Shrubland (Mixed forest &amp; grassland)</v>
      </c>
      <c r="H3033" s="152" t="str">
        <f>'Reported burning'!H3033</f>
        <v>Presence</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1" t="s">
        <v>2376</v>
      </c>
      <c r="W3033" s="204" t="s">
        <v>2276</v>
      </c>
      <c r="X3033" s="204" t="s">
        <v>35</v>
      </c>
      <c r="Y3033" s="204" t="s">
        <v>35</v>
      </c>
      <c r="Z3033" s="204" t="s">
        <v>2276</v>
      </c>
      <c r="AA3033" s="204"/>
      <c r="AB3033" s="204"/>
    </row>
    <row r="3034" spans="1:28" ht="43" customHeight="1">
      <c r="A3034" s="152" t="str">
        <f>'Reported burning'!A3034</f>
        <v>330b</v>
      </c>
      <c r="B3034" s="152" t="str">
        <f>'Reported burning'!B3034</f>
        <v>330b.3</v>
      </c>
      <c r="C3034" s="152" t="str">
        <f>'Reported burning'!C3034</f>
        <v>All</v>
      </c>
      <c r="D3034" s="152" t="str">
        <f>'Reported burning'!D3034</f>
        <v>All</v>
      </c>
      <c r="E3034" s="152" t="str">
        <f>'Reported burning'!E3034</f>
        <v>All</v>
      </c>
      <c r="F3034" s="152" t="str">
        <f>'Reported burning'!F3034</f>
        <v>ND</v>
      </c>
      <c r="G3034" s="152" t="str">
        <f>'Reported burning'!G3034</f>
        <v>Shrubland (Mixed forest &amp; grassland)</v>
      </c>
      <c r="H3034" s="152" t="str">
        <f>'Reported burning'!H3034</f>
        <v>Presence</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1" t="s">
        <v>2374</v>
      </c>
      <c r="W3034" s="204" t="s">
        <v>2276</v>
      </c>
      <c r="X3034" s="204" t="s">
        <v>127</v>
      </c>
      <c r="Y3034" s="204" t="s">
        <v>127</v>
      </c>
      <c r="Z3034" s="204" t="s">
        <v>2276</v>
      </c>
      <c r="AA3034" s="204"/>
      <c r="AB3034" s="204"/>
    </row>
    <row r="3035" spans="1:28" ht="43" customHeight="1">
      <c r="A3035" s="152" t="str">
        <f>'Reported burning'!A3035</f>
        <v>330b</v>
      </c>
      <c r="B3035" s="152" t="str">
        <f>'Reported burning'!B3035</f>
        <v>330b.4</v>
      </c>
      <c r="C3035" s="152" t="str">
        <f>'Reported burning'!C3035</f>
        <v>All</v>
      </c>
      <c r="D3035" s="152" t="str">
        <f>'Reported burning'!D3035</f>
        <v>All</v>
      </c>
      <c r="E3035" s="152" t="str">
        <f>'Reported burning'!E3035</f>
        <v>All</v>
      </c>
      <c r="F3035" s="152" t="str">
        <f>'Reported burning'!F3035</f>
        <v>ND</v>
      </c>
      <c r="G3035" s="152" t="str">
        <f>'Reported burning'!G3035</f>
        <v>Shrubland (Mixed forest &amp; grassland)</v>
      </c>
      <c r="H3035" s="152" t="str">
        <f>'Reported burning'!H3035</f>
        <v>Presence</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1" t="s">
        <v>2389</v>
      </c>
      <c r="W3035" s="204" t="s">
        <v>2276</v>
      </c>
      <c r="X3035" s="204" t="s">
        <v>399</v>
      </c>
      <c r="Y3035" s="204" t="s">
        <v>399</v>
      </c>
      <c r="Z3035" s="204" t="s">
        <v>2276</v>
      </c>
      <c r="AA3035" s="204"/>
      <c r="AB3035" s="204"/>
    </row>
    <row r="3036" spans="1:28" ht="43" customHeight="1">
      <c r="A3036" s="152" t="str">
        <f>'Reported burning'!A3036</f>
        <v>330b</v>
      </c>
      <c r="B3036" s="152" t="str">
        <f>'Reported burning'!B3036</f>
        <v>330b.5</v>
      </c>
      <c r="C3036" s="152" t="str">
        <f>'Reported burning'!C3036</f>
        <v>All</v>
      </c>
      <c r="D3036" s="152" t="str">
        <f>'Reported burning'!D3036</f>
        <v>All</v>
      </c>
      <c r="E3036" s="152" t="str">
        <f>'Reported burning'!E3036</f>
        <v>All</v>
      </c>
      <c r="F3036" s="152" t="str">
        <f>'Reported burning'!F3036</f>
        <v>ND</v>
      </c>
      <c r="G3036" s="152" t="str">
        <f>'Reported burning'!G3036</f>
        <v>Shrubland (Mixed forest &amp; grassland)</v>
      </c>
      <c r="H3036" s="152" t="str">
        <f>'Reported burning'!H3036</f>
        <v>Presence</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1" t="s">
        <v>2527</v>
      </c>
      <c r="W3036" s="204" t="s">
        <v>2276</v>
      </c>
      <c r="X3036" s="204" t="s">
        <v>188</v>
      </c>
      <c r="Y3036" s="204" t="s">
        <v>188</v>
      </c>
      <c r="Z3036" s="204" t="s">
        <v>2276</v>
      </c>
      <c r="AA3036" s="204"/>
      <c r="AB3036" s="204"/>
    </row>
    <row r="3037" spans="1:28" ht="43" customHeight="1">
      <c r="A3037" s="152" t="str">
        <f>'Reported burning'!A3037</f>
        <v>330b</v>
      </c>
      <c r="B3037" s="152" t="str">
        <f>'Reported burning'!B3037</f>
        <v>330b.6</v>
      </c>
      <c r="C3037" s="152" t="str">
        <f>'Reported burning'!C3037</f>
        <v>All</v>
      </c>
      <c r="D3037" s="152" t="str">
        <f>'Reported burning'!D3037</f>
        <v>All</v>
      </c>
      <c r="E3037" s="152" t="str">
        <f>'Reported burning'!E3037</f>
        <v>All</v>
      </c>
      <c r="F3037" s="152" t="str">
        <f>'Reported burning'!F3037</f>
        <v>ND</v>
      </c>
      <c r="G3037" s="152" t="str">
        <f>'Reported burning'!G3037</f>
        <v>Shrubland (Mixed forest &amp; grassland)</v>
      </c>
      <c r="H3037" s="152" t="str">
        <f>'Reported burning'!H3037</f>
        <v>Presence</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1" t="s">
        <v>2527</v>
      </c>
      <c r="W3037" s="204" t="s">
        <v>2276</v>
      </c>
      <c r="X3037" s="204" t="s">
        <v>189</v>
      </c>
      <c r="Y3037" s="204" t="s">
        <v>189</v>
      </c>
      <c r="Z3037" s="204" t="s">
        <v>2276</v>
      </c>
      <c r="AA3037" s="204"/>
      <c r="AB3037" s="204"/>
    </row>
    <row r="3038" spans="1:28" ht="43" customHeight="1">
      <c r="A3038" s="156" t="str">
        <f>'Reported burning'!A3038</f>
        <v>330b</v>
      </c>
      <c r="B3038" s="156" t="str">
        <f>'Reported burning'!B3038</f>
        <v>330b.7</v>
      </c>
      <c r="C3038" s="156" t="str">
        <f>'Reported burning'!C3038</f>
        <v>Human, deliberate</v>
      </c>
      <c r="D3038" s="156" t="str">
        <f>'Reported burning'!D3038</f>
        <v>Pyrome management</v>
      </c>
      <c r="E3038" s="156" t="str">
        <f>'Reported burning'!E3038</f>
        <v>Forestry, Traditional</v>
      </c>
      <c r="F3038" s="156" t="str">
        <f>'Reported burning'!F3038</f>
        <v>Shrubland (Mixed forest &amp; grassland)</v>
      </c>
      <c r="G3038" s="156" t="str">
        <f>'Reported burning'!G3038</f>
        <v>Shrubland (Mixed forest &amp; grassland)</v>
      </c>
      <c r="H3038" s="156" t="str">
        <f>'Reported burning'!H3038</f>
        <v>Absence</v>
      </c>
      <c r="I3038" s="5"/>
      <c r="J3038" s="21">
        <v>0</v>
      </c>
      <c r="K3038" s="21">
        <v>0</v>
      </c>
      <c r="L3038" s="21">
        <v>0</v>
      </c>
      <c r="M3038" s="21">
        <v>0</v>
      </c>
      <c r="N3038" s="21">
        <v>0</v>
      </c>
      <c r="O3038" s="21">
        <v>0</v>
      </c>
      <c r="P3038" s="21">
        <v>0</v>
      </c>
      <c r="Q3038" s="21">
        <v>0</v>
      </c>
      <c r="R3038" s="21">
        <v>0</v>
      </c>
      <c r="S3038" s="21">
        <v>0</v>
      </c>
      <c r="T3038" s="21">
        <v>0</v>
      </c>
      <c r="U3038" s="21">
        <v>0</v>
      </c>
      <c r="V3038" s="21">
        <v>0</v>
      </c>
      <c r="W3038" s="204" t="s">
        <v>2276</v>
      </c>
      <c r="X3038" s="204" t="s">
        <v>68</v>
      </c>
      <c r="Y3038" s="204" t="s">
        <v>127</v>
      </c>
      <c r="Z3038" s="204" t="s">
        <v>2655</v>
      </c>
      <c r="AA3038" s="204"/>
      <c r="AB3038" s="204"/>
    </row>
    <row r="3039" spans="1:28" ht="43" customHeight="1">
      <c r="A3039" s="156" t="str">
        <f>'Reported burning'!A3039</f>
        <v>331a</v>
      </c>
      <c r="B3039" s="156" t="str">
        <f>'Reported burning'!B3039</f>
        <v>331a.1</v>
      </c>
      <c r="C3039" s="156" t="str">
        <f>'Reported burning'!C3039</f>
        <v>Unknown</v>
      </c>
      <c r="D3039" s="156" t="str">
        <f>'Reported burning'!D3039</f>
        <v>ND</v>
      </c>
      <c r="E3039" s="156" t="str">
        <f>'Reported burning'!E3039</f>
        <v>ND</v>
      </c>
      <c r="F3039" s="156" t="str">
        <f>'Reported burning'!F3039</f>
        <v>ND</v>
      </c>
      <c r="G3039" s="156" t="str">
        <f>'Reported burning'!G3039</f>
        <v>Shrubland (Mixed forest &amp; grassland)</v>
      </c>
      <c r="H3039" s="156" t="str">
        <f>'Reported burning'!H3039</f>
        <v>Presence</v>
      </c>
      <c r="I3039" s="5"/>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4" t="s">
        <v>8196</v>
      </c>
      <c r="AB3039" s="204"/>
    </row>
    <row r="3040" spans="1:28" ht="47" customHeight="1">
      <c r="A3040" s="156" t="str">
        <f>'Reported burning'!A3040</f>
        <v>331a</v>
      </c>
      <c r="B3040" s="156" t="str">
        <f>'Reported burning'!B3040</f>
        <v>331a.2</v>
      </c>
      <c r="C3040" s="156" t="str">
        <f>'Reported burning'!C3040</f>
        <v>Human, deliberate</v>
      </c>
      <c r="D3040" s="156" t="str">
        <f>'Reported burning'!D3040</f>
        <v>Pyrome management</v>
      </c>
      <c r="E3040" s="156" t="str">
        <f>'Reported burning'!E3040</f>
        <v>Biodiversity conservation</v>
      </c>
      <c r="F3040" s="156" t="str">
        <f>'Reported burning'!F3040</f>
        <v>Shrubland (Mixed forest &amp; grassland)</v>
      </c>
      <c r="G3040" s="156" t="str">
        <f>'Reported burning'!G3040</f>
        <v>Shrubland (Mixed forest &amp; grassland)</v>
      </c>
      <c r="H3040" s="156" t="str">
        <f>'Reported burning'!H3040</f>
        <v>Presence</v>
      </c>
      <c r="I3040" s="5"/>
      <c r="J3040" s="204" t="s">
        <v>2276</v>
      </c>
      <c r="K3040" s="204" t="s">
        <v>2276</v>
      </c>
      <c r="L3040" s="204" t="s">
        <v>2276</v>
      </c>
      <c r="M3040" s="204" t="s">
        <v>2276</v>
      </c>
      <c r="N3040" s="204" t="s">
        <v>2276</v>
      </c>
      <c r="O3040" s="204" t="s">
        <v>2276</v>
      </c>
      <c r="P3040" s="204" t="s">
        <v>2276</v>
      </c>
      <c r="Q3040" s="204" t="s">
        <v>2276</v>
      </c>
      <c r="R3040" s="204" t="s">
        <v>2276</v>
      </c>
      <c r="S3040" s="21" t="s">
        <v>2392</v>
      </c>
      <c r="T3040" s="204" t="s">
        <v>2276</v>
      </c>
      <c r="U3040" s="204" t="s">
        <v>2276</v>
      </c>
      <c r="V3040" s="204" t="s">
        <v>2276</v>
      </c>
      <c r="W3040" s="21" t="s">
        <v>2403</v>
      </c>
      <c r="X3040" s="204" t="s">
        <v>38</v>
      </c>
      <c r="Y3040" s="204" t="s">
        <v>86</v>
      </c>
      <c r="Z3040" s="204" t="s">
        <v>64</v>
      </c>
      <c r="AA3040" s="204" t="s">
        <v>8199</v>
      </c>
      <c r="AB3040" s="4" t="s">
        <v>8197</v>
      </c>
    </row>
    <row r="3041" spans="1:28" ht="47" customHeight="1">
      <c r="A3041" s="156" t="str">
        <f>'Reported burning'!A3041</f>
        <v>332a</v>
      </c>
      <c r="B3041" s="156" t="str">
        <f>'Reported burning'!B3041</f>
        <v>332a.1</v>
      </c>
      <c r="C3041" s="156" t="str">
        <f>'Reported burning'!C3041</f>
        <v>Human, deliberate</v>
      </c>
      <c r="D3041" s="156" t="str">
        <f>'Reported burning'!D3041</f>
        <v>Conservation</v>
      </c>
      <c r="E3041" s="156" t="str">
        <f>'Reported burning'!E3041</f>
        <v>Biodiversity conservation</v>
      </c>
      <c r="F3041" s="156" t="str">
        <f>'Reported burning'!F3041</f>
        <v>Forest</v>
      </c>
      <c r="G3041" s="156" t="str">
        <f>'Reported burning'!G3041</f>
        <v>ND</v>
      </c>
      <c r="H3041" s="156" t="str">
        <f>'Reported burning'!H3041</f>
        <v>Absence</v>
      </c>
      <c r="I3041" s="5"/>
      <c r="J3041" s="21">
        <v>0</v>
      </c>
      <c r="K3041" s="21">
        <v>0</v>
      </c>
      <c r="L3041" s="21">
        <v>0</v>
      </c>
      <c r="M3041" s="21">
        <v>0</v>
      </c>
      <c r="N3041" s="21">
        <v>0</v>
      </c>
      <c r="O3041" s="21">
        <v>0</v>
      </c>
      <c r="P3041" s="21">
        <v>0</v>
      </c>
      <c r="Q3041" s="21">
        <v>0</v>
      </c>
      <c r="R3041" s="21">
        <v>0</v>
      </c>
      <c r="S3041" s="21">
        <v>0</v>
      </c>
      <c r="T3041" s="21">
        <v>0</v>
      </c>
      <c r="U3041" s="21">
        <v>0</v>
      </c>
      <c r="V3041" s="21">
        <v>0</v>
      </c>
      <c r="W3041" s="204" t="s">
        <v>2276</v>
      </c>
      <c r="X3041" s="204" t="s">
        <v>2276</v>
      </c>
      <c r="Y3041" s="204" t="s">
        <v>2276</v>
      </c>
      <c r="Z3041" s="204" t="s">
        <v>2276</v>
      </c>
      <c r="AA3041" s="4" t="s">
        <v>8228</v>
      </c>
      <c r="AB3041" s="204"/>
    </row>
    <row r="3042" spans="1:28" ht="47" customHeight="1">
      <c r="A3042" s="156" t="str">
        <f>'Reported burning'!A3042</f>
        <v>332b</v>
      </c>
      <c r="B3042" s="156" t="str">
        <f>'Reported burning'!B3042</f>
        <v>332b.1</v>
      </c>
      <c r="C3042" s="156" t="str">
        <f>'Reported burning'!C3042</f>
        <v>Human, deliberate</v>
      </c>
      <c r="D3042" s="156" t="str">
        <f>'Reported burning'!D3042</f>
        <v>Conservation</v>
      </c>
      <c r="E3042" s="156" t="str">
        <f>'Reported burning'!E3042</f>
        <v>Biodiversity conservation</v>
      </c>
      <c r="F3042" s="156" t="str">
        <f>'Reported burning'!F3042</f>
        <v>Forest</v>
      </c>
      <c r="G3042" s="156" t="str">
        <f>'Reported burning'!G3042</f>
        <v>ND</v>
      </c>
      <c r="H3042" s="156" t="str">
        <f>'Reported burning'!H3042</f>
        <v>Absence</v>
      </c>
      <c r="I3042" s="5"/>
      <c r="J3042" s="21">
        <v>0</v>
      </c>
      <c r="K3042" s="21">
        <v>0</v>
      </c>
      <c r="L3042" s="21">
        <v>0</v>
      </c>
      <c r="M3042" s="21">
        <v>0</v>
      </c>
      <c r="N3042" s="21">
        <v>0</v>
      </c>
      <c r="O3042" s="21">
        <v>0</v>
      </c>
      <c r="P3042" s="21">
        <v>0</v>
      </c>
      <c r="Q3042" s="21">
        <v>0</v>
      </c>
      <c r="R3042" s="21">
        <v>0</v>
      </c>
      <c r="S3042" s="21">
        <v>0</v>
      </c>
      <c r="T3042" s="21">
        <v>0</v>
      </c>
      <c r="U3042" s="21">
        <v>0</v>
      </c>
      <c r="V3042" s="21">
        <v>0</v>
      </c>
      <c r="W3042" s="204" t="s">
        <v>2276</v>
      </c>
      <c r="X3042" s="204" t="s">
        <v>2276</v>
      </c>
      <c r="Y3042" s="204" t="s">
        <v>2276</v>
      </c>
      <c r="Z3042" s="204" t="s">
        <v>2276</v>
      </c>
      <c r="AA3042" s="4" t="s">
        <v>8228</v>
      </c>
      <c r="AB3042" s="204"/>
    </row>
    <row r="3043" spans="1:28" ht="48.5" customHeight="1">
      <c r="A3043" s="156" t="str">
        <f>'Reported burning'!A3043</f>
        <v>332c</v>
      </c>
      <c r="B3043" s="156" t="str">
        <f>'Reported burning'!B3043</f>
        <v>332c.1</v>
      </c>
      <c r="C3043" s="156" t="str">
        <f>'Reported burning'!C3043</f>
        <v>Human, deliberate</v>
      </c>
      <c r="D3043" s="156" t="str">
        <f>'Reported burning'!D3043</f>
        <v>Conservation</v>
      </c>
      <c r="E3043" s="156" t="str">
        <f>'Reported burning'!E3043</f>
        <v>Biodiversity conservation</v>
      </c>
      <c r="F3043" s="156" t="str">
        <f>'Reported burning'!F3043</f>
        <v>Forest</v>
      </c>
      <c r="G3043" s="156" t="str">
        <f>'Reported burning'!G3043</f>
        <v>ND</v>
      </c>
      <c r="H3043" s="156" t="str">
        <f>'Reported burning'!H3043</f>
        <v>Absence</v>
      </c>
      <c r="I3043" s="5"/>
      <c r="J3043" s="21">
        <v>0</v>
      </c>
      <c r="K3043" s="21">
        <v>0</v>
      </c>
      <c r="L3043" s="21">
        <v>0</v>
      </c>
      <c r="M3043" s="21">
        <v>0</v>
      </c>
      <c r="N3043" s="21">
        <v>0</v>
      </c>
      <c r="O3043" s="21">
        <v>0</v>
      </c>
      <c r="P3043" s="21">
        <v>0</v>
      </c>
      <c r="Q3043" s="21">
        <v>0</v>
      </c>
      <c r="R3043" s="21">
        <v>0</v>
      </c>
      <c r="S3043" s="21">
        <v>0</v>
      </c>
      <c r="T3043" s="21">
        <v>0</v>
      </c>
      <c r="U3043" s="21">
        <v>0</v>
      </c>
      <c r="V3043" s="21">
        <v>0</v>
      </c>
      <c r="W3043" s="204" t="s">
        <v>2276</v>
      </c>
      <c r="X3043" s="204" t="s">
        <v>2276</v>
      </c>
      <c r="Y3043" s="204" t="s">
        <v>2276</v>
      </c>
      <c r="Z3043" s="204" t="s">
        <v>2276</v>
      </c>
      <c r="AA3043" s="4" t="s">
        <v>8228</v>
      </c>
      <c r="AB3043" s="204"/>
    </row>
    <row r="3044" spans="1:28" ht="48.5" customHeight="1">
      <c r="A3044" s="156" t="str">
        <f>'Reported burning'!A3044</f>
        <v>332d</v>
      </c>
      <c r="B3044" s="156" t="str">
        <f>'Reported burning'!B3044</f>
        <v>332d.1</v>
      </c>
      <c r="C3044" s="156" t="str">
        <f>'Reported burning'!C3044</f>
        <v>Human, deliberate</v>
      </c>
      <c r="D3044" s="156" t="str">
        <f>'Reported burning'!D3044</f>
        <v>Conservation</v>
      </c>
      <c r="E3044" s="156" t="str">
        <f>'Reported burning'!E3044</f>
        <v>Biodiversity conservation</v>
      </c>
      <c r="F3044" s="156" t="str">
        <f>'Reported burning'!F3044</f>
        <v>Forest</v>
      </c>
      <c r="G3044" s="156" t="str">
        <f>'Reported burning'!G3044</f>
        <v>ND</v>
      </c>
      <c r="H3044" s="156" t="str">
        <f>'Reported burning'!H3044</f>
        <v>Absence</v>
      </c>
      <c r="I3044" s="5"/>
      <c r="J3044" s="21">
        <v>0</v>
      </c>
      <c r="K3044" s="21">
        <v>0</v>
      </c>
      <c r="L3044" s="21">
        <v>0</v>
      </c>
      <c r="M3044" s="21">
        <v>0</v>
      </c>
      <c r="N3044" s="21">
        <v>0</v>
      </c>
      <c r="O3044" s="21">
        <v>0</v>
      </c>
      <c r="P3044" s="21">
        <v>0</v>
      </c>
      <c r="Q3044" s="21">
        <v>0</v>
      </c>
      <c r="R3044" s="21">
        <v>0</v>
      </c>
      <c r="S3044" s="21">
        <v>0</v>
      </c>
      <c r="T3044" s="21">
        <v>0</v>
      </c>
      <c r="U3044" s="21">
        <v>0</v>
      </c>
      <c r="V3044" s="21">
        <v>0</v>
      </c>
      <c r="W3044" s="204" t="s">
        <v>2276</v>
      </c>
      <c r="X3044" s="204" t="s">
        <v>2276</v>
      </c>
      <c r="Y3044" s="204" t="s">
        <v>2276</v>
      </c>
      <c r="Z3044" s="204" t="s">
        <v>2276</v>
      </c>
      <c r="AA3044" s="4" t="s">
        <v>8228</v>
      </c>
      <c r="AB3044" s="204"/>
    </row>
    <row r="3045" spans="1:28" ht="48.5" customHeight="1">
      <c r="A3045" s="156" t="str">
        <f>'Reported burning'!A3045</f>
        <v>332e</v>
      </c>
      <c r="B3045" s="156" t="str">
        <f>'Reported burning'!B3045</f>
        <v>332e.1</v>
      </c>
      <c r="C3045" s="156" t="str">
        <f>'Reported burning'!C3045</f>
        <v>Human, deliberate</v>
      </c>
      <c r="D3045" s="156" t="str">
        <f>'Reported burning'!D3045</f>
        <v>Conservation</v>
      </c>
      <c r="E3045" s="156" t="str">
        <f>'Reported burning'!E3045</f>
        <v>Biodiversity conservation</v>
      </c>
      <c r="F3045" s="156" t="str">
        <f>'Reported burning'!F3045</f>
        <v>Forest</v>
      </c>
      <c r="G3045" s="156" t="str">
        <f>'Reported burning'!G3045</f>
        <v>ND</v>
      </c>
      <c r="H3045" s="156" t="str">
        <f>'Reported burning'!H3045</f>
        <v>Absence</v>
      </c>
      <c r="I3045" s="5"/>
      <c r="J3045" s="21">
        <v>0</v>
      </c>
      <c r="K3045" s="21">
        <v>0</v>
      </c>
      <c r="L3045" s="21">
        <v>0</v>
      </c>
      <c r="M3045" s="21">
        <v>0</v>
      </c>
      <c r="N3045" s="21">
        <v>0</v>
      </c>
      <c r="O3045" s="21">
        <v>0</v>
      </c>
      <c r="P3045" s="21">
        <v>0</v>
      </c>
      <c r="Q3045" s="21">
        <v>0</v>
      </c>
      <c r="R3045" s="21">
        <v>0</v>
      </c>
      <c r="S3045" s="21">
        <v>0</v>
      </c>
      <c r="T3045" s="21">
        <v>0</v>
      </c>
      <c r="U3045" s="21">
        <v>0</v>
      </c>
      <c r="V3045" s="21">
        <v>0</v>
      </c>
      <c r="W3045" s="204" t="s">
        <v>2276</v>
      </c>
      <c r="X3045" s="204" t="s">
        <v>2276</v>
      </c>
      <c r="Y3045" s="204" t="s">
        <v>2276</v>
      </c>
      <c r="Z3045" s="204" t="s">
        <v>2276</v>
      </c>
      <c r="AA3045" s="4" t="s">
        <v>8228</v>
      </c>
      <c r="AB3045" s="204"/>
    </row>
    <row r="3046" spans="1:28" ht="48.5" customHeight="1">
      <c r="A3046" s="156" t="str">
        <f>'Reported burning'!A3046</f>
        <v>332f</v>
      </c>
      <c r="B3046" s="156" t="str">
        <f>'Reported burning'!B3046</f>
        <v>332f.1</v>
      </c>
      <c r="C3046" s="156" t="str">
        <f>'Reported burning'!C3046</f>
        <v>Human, deliberate</v>
      </c>
      <c r="D3046" s="156" t="str">
        <f>'Reported burning'!D3046</f>
        <v>Conservation</v>
      </c>
      <c r="E3046" s="156" t="str">
        <f>'Reported burning'!E3046</f>
        <v>Biodiversity conservation</v>
      </c>
      <c r="F3046" s="156" t="str">
        <f>'Reported burning'!F3046</f>
        <v>Forest</v>
      </c>
      <c r="G3046" s="156" t="str">
        <f>'Reported burning'!G3046</f>
        <v>ND</v>
      </c>
      <c r="H3046" s="156" t="str">
        <f>'Reported burning'!H3046</f>
        <v>Absence</v>
      </c>
      <c r="I3046" s="5"/>
      <c r="J3046" s="21">
        <v>0</v>
      </c>
      <c r="K3046" s="21">
        <v>0</v>
      </c>
      <c r="L3046" s="21">
        <v>0</v>
      </c>
      <c r="M3046" s="21">
        <v>0</v>
      </c>
      <c r="N3046" s="21">
        <v>0</v>
      </c>
      <c r="O3046" s="21">
        <v>0</v>
      </c>
      <c r="P3046" s="21">
        <v>0</v>
      </c>
      <c r="Q3046" s="21">
        <v>0</v>
      </c>
      <c r="R3046" s="21">
        <v>0</v>
      </c>
      <c r="S3046" s="21">
        <v>0</v>
      </c>
      <c r="T3046" s="21">
        <v>0</v>
      </c>
      <c r="U3046" s="21">
        <v>0</v>
      </c>
      <c r="V3046" s="21">
        <v>0</v>
      </c>
      <c r="W3046" s="204" t="s">
        <v>2276</v>
      </c>
      <c r="X3046" s="204" t="s">
        <v>2276</v>
      </c>
      <c r="Y3046" s="204" t="s">
        <v>2276</v>
      </c>
      <c r="Z3046" s="204" t="s">
        <v>2276</v>
      </c>
      <c r="AA3046" s="4" t="s">
        <v>8228</v>
      </c>
      <c r="AB3046" s="204"/>
    </row>
    <row r="3047" spans="1:28" ht="48.5" customHeight="1">
      <c r="A3047" s="156" t="str">
        <f>'Reported burning'!A3047</f>
        <v>332g</v>
      </c>
      <c r="B3047" s="156" t="str">
        <f>'Reported burning'!B3047</f>
        <v>332g.1</v>
      </c>
      <c r="C3047" s="156" t="str">
        <f>'Reported burning'!C3047</f>
        <v>Human, deliberate</v>
      </c>
      <c r="D3047" s="156" t="str">
        <f>'Reported burning'!D3047</f>
        <v>Conservation</v>
      </c>
      <c r="E3047" s="156" t="str">
        <f>'Reported burning'!E3047</f>
        <v>Biodiversity conservation</v>
      </c>
      <c r="F3047" s="156" t="str">
        <f>'Reported burning'!F3047</f>
        <v>Forest</v>
      </c>
      <c r="G3047" s="156" t="str">
        <f>'Reported burning'!G3047</f>
        <v>ND</v>
      </c>
      <c r="H3047" s="156" t="str">
        <f>'Reported burning'!H3047</f>
        <v>Absence</v>
      </c>
      <c r="I3047" s="5"/>
      <c r="J3047" s="21">
        <v>0</v>
      </c>
      <c r="K3047" s="21">
        <v>0</v>
      </c>
      <c r="L3047" s="21">
        <v>0</v>
      </c>
      <c r="M3047" s="21">
        <v>0</v>
      </c>
      <c r="N3047" s="21">
        <v>0</v>
      </c>
      <c r="O3047" s="21">
        <v>0</v>
      </c>
      <c r="P3047" s="21">
        <v>0</v>
      </c>
      <c r="Q3047" s="21">
        <v>0</v>
      </c>
      <c r="R3047" s="21">
        <v>0</v>
      </c>
      <c r="S3047" s="21">
        <v>0</v>
      </c>
      <c r="T3047" s="21">
        <v>0</v>
      </c>
      <c r="U3047" s="21">
        <v>0</v>
      </c>
      <c r="V3047" s="21">
        <v>0</v>
      </c>
      <c r="W3047" s="204" t="s">
        <v>2276</v>
      </c>
      <c r="X3047" s="204" t="s">
        <v>2276</v>
      </c>
      <c r="Y3047" s="204" t="s">
        <v>2276</v>
      </c>
      <c r="Z3047" s="204" t="s">
        <v>2276</v>
      </c>
      <c r="AA3047" s="4" t="s">
        <v>8228</v>
      </c>
      <c r="AB3047" s="204"/>
    </row>
    <row r="3048" spans="1:28" ht="48.5" customHeight="1">
      <c r="A3048" s="156" t="str">
        <f>'Reported burning'!A3048</f>
        <v>332a</v>
      </c>
      <c r="B3048" s="156" t="str">
        <f>'Reported burning'!B3048</f>
        <v>332a.2</v>
      </c>
      <c r="C3048" s="156" t="str">
        <f>'Reported burning'!C3048</f>
        <v>All</v>
      </c>
      <c r="D3048" s="156" t="str">
        <f>'Reported burning'!D3048</f>
        <v>ND</v>
      </c>
      <c r="E3048" s="156" t="str">
        <f>'Reported burning'!E3048</f>
        <v>All</v>
      </c>
      <c r="F3048" s="156" t="str">
        <f>'Reported burning'!F3048</f>
        <v>ND</v>
      </c>
      <c r="G3048" s="156" t="str">
        <f>'Reported burning'!G3048</f>
        <v>ND</v>
      </c>
      <c r="H3048" s="156" t="str">
        <f>'Reported burning'!H3048</f>
        <v>Presence</v>
      </c>
      <c r="I3048" s="5"/>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c r="AB3048" s="204"/>
    </row>
    <row r="3049" spans="1:28" ht="48.5" customHeight="1">
      <c r="A3049" s="156" t="str">
        <f>'Reported burning'!A3049</f>
        <v>332b</v>
      </c>
      <c r="B3049" s="156" t="str">
        <f>'Reported burning'!B3049</f>
        <v>332b.2</v>
      </c>
      <c r="C3049" s="156" t="str">
        <f>'Reported burning'!C3049</f>
        <v>All</v>
      </c>
      <c r="D3049" s="156" t="str">
        <f>'Reported burning'!D3049</f>
        <v>ND</v>
      </c>
      <c r="E3049" s="156" t="str">
        <f>'Reported burning'!E3049</f>
        <v>All</v>
      </c>
      <c r="F3049" s="156" t="str">
        <f>'Reported burning'!F3049</f>
        <v>ND</v>
      </c>
      <c r="G3049" s="156" t="str">
        <f>'Reported burning'!G3049</f>
        <v>ND</v>
      </c>
      <c r="H3049" s="156" t="str">
        <f>'Reported burning'!H3049</f>
        <v>Presence</v>
      </c>
      <c r="I3049" s="5"/>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c r="AB3049" s="204"/>
    </row>
    <row r="3050" spans="1:28" ht="34.5" customHeight="1">
      <c r="A3050" s="156" t="str">
        <f>'Reported burning'!A3050</f>
        <v>332c</v>
      </c>
      <c r="B3050" s="156" t="str">
        <f>'Reported burning'!B3050</f>
        <v>332c.2</v>
      </c>
      <c r="C3050" s="156" t="str">
        <f>'Reported burning'!C3050</f>
        <v>All</v>
      </c>
      <c r="D3050" s="156" t="str">
        <f>'Reported burning'!D3050</f>
        <v>ND</v>
      </c>
      <c r="E3050" s="156" t="str">
        <f>'Reported burning'!E3050</f>
        <v>All</v>
      </c>
      <c r="F3050" s="156" t="str">
        <f>'Reported burning'!F3050</f>
        <v>ND</v>
      </c>
      <c r="G3050" s="156" t="str">
        <f>'Reported burning'!G3050</f>
        <v>ND</v>
      </c>
      <c r="H3050" s="156" t="str">
        <f>'Reported burning'!H3050</f>
        <v>Presence</v>
      </c>
      <c r="I3050" s="5"/>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c r="AB3050" s="204"/>
    </row>
    <row r="3051" spans="1:28" ht="34.5" customHeight="1">
      <c r="A3051" s="156" t="str">
        <f>'Reported burning'!A3051</f>
        <v>332d</v>
      </c>
      <c r="B3051" s="156" t="str">
        <f>'Reported burning'!B3051</f>
        <v>332d.2</v>
      </c>
      <c r="C3051" s="156" t="str">
        <f>'Reported burning'!C3051</f>
        <v>All</v>
      </c>
      <c r="D3051" s="156" t="str">
        <f>'Reported burning'!D3051</f>
        <v>ND</v>
      </c>
      <c r="E3051" s="156" t="str">
        <f>'Reported burning'!E3051</f>
        <v>All</v>
      </c>
      <c r="F3051" s="156" t="str">
        <f>'Reported burning'!F3051</f>
        <v>ND</v>
      </c>
      <c r="G3051" s="156" t="str">
        <f>'Reported burning'!G3051</f>
        <v>ND</v>
      </c>
      <c r="H3051" s="156" t="str">
        <f>'Reported burning'!H3051</f>
        <v>Presence</v>
      </c>
      <c r="I3051" s="5"/>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c r="AB3051" s="204"/>
    </row>
    <row r="3052" spans="1:28" ht="34.5" customHeight="1">
      <c r="A3052" s="156" t="str">
        <f>'Reported burning'!A3052</f>
        <v>332e</v>
      </c>
      <c r="B3052" s="156" t="str">
        <f>'Reported burning'!B3052</f>
        <v>332e.2</v>
      </c>
      <c r="C3052" s="156" t="str">
        <f>'Reported burning'!C3052</f>
        <v>All</v>
      </c>
      <c r="D3052" s="156" t="str">
        <f>'Reported burning'!D3052</f>
        <v>ND</v>
      </c>
      <c r="E3052" s="156" t="str">
        <f>'Reported burning'!E3052</f>
        <v>All</v>
      </c>
      <c r="F3052" s="156" t="str">
        <f>'Reported burning'!F3052</f>
        <v>ND</v>
      </c>
      <c r="G3052" s="156" t="str">
        <f>'Reported burning'!G3052</f>
        <v>ND</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c r="AB3052" s="204"/>
    </row>
    <row r="3053" spans="1:28" ht="34.5" customHeight="1">
      <c r="A3053" s="156" t="str">
        <f>'Reported burning'!A3053</f>
        <v>332f</v>
      </c>
      <c r="B3053" s="156" t="str">
        <f>'Reported burning'!B3053</f>
        <v>332f.2</v>
      </c>
      <c r="C3053" s="156" t="str">
        <f>'Reported burning'!C3053</f>
        <v>All</v>
      </c>
      <c r="D3053" s="156" t="str">
        <f>'Reported burning'!D3053</f>
        <v>ND</v>
      </c>
      <c r="E3053" s="156" t="str">
        <f>'Reported burning'!E3053</f>
        <v>All</v>
      </c>
      <c r="F3053" s="156" t="str">
        <f>'Reported burning'!F3053</f>
        <v>ND</v>
      </c>
      <c r="G3053" s="156" t="str">
        <f>'Reported burning'!G3053</f>
        <v>ND</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c r="AB3053" s="204"/>
    </row>
    <row r="3054" spans="1:28" ht="34.5" customHeight="1">
      <c r="A3054" s="156" t="str">
        <f>'Reported burning'!A3054</f>
        <v>332g</v>
      </c>
      <c r="B3054" s="156" t="str">
        <f>'Reported burning'!B3054</f>
        <v>332g.2</v>
      </c>
      <c r="C3054" s="156" t="str">
        <f>'Reported burning'!C3054</f>
        <v>All</v>
      </c>
      <c r="D3054" s="156" t="str">
        <f>'Reported burning'!D3054</f>
        <v>ND</v>
      </c>
      <c r="E3054" s="156" t="str">
        <f>'Reported burning'!E3054</f>
        <v>All</v>
      </c>
      <c r="F3054" s="156" t="str">
        <f>'Reported burning'!F3054</f>
        <v>ND</v>
      </c>
      <c r="G3054" s="156" t="str">
        <f>'Reported burning'!G3054</f>
        <v>ND</v>
      </c>
      <c r="H3054" s="156" t="str">
        <f>'Reported burning'!H3054</f>
        <v>Presence</v>
      </c>
      <c r="I3054" s="5"/>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c r="AB3054" s="204"/>
    </row>
    <row r="3055" spans="1:28" ht="34.5" customHeight="1">
      <c r="A3055" s="156" t="str">
        <f>'Reported burning'!A3055</f>
        <v>333a</v>
      </c>
      <c r="B3055" s="156" t="str">
        <f>'Reported burning'!B3055</f>
        <v>333a.1</v>
      </c>
      <c r="C3055" s="156" t="str">
        <f>'Reported burning'!C3055</f>
        <v>Human, deliberate</v>
      </c>
      <c r="D3055" s="156" t="str">
        <f>'Reported burning'!D3055</f>
        <v>Pasture renewal</v>
      </c>
      <c r="E3055" s="156" t="str">
        <f>'Reported burning'!E3055</f>
        <v>Forestry, Traditional</v>
      </c>
      <c r="F3055" s="156" t="str">
        <f>'Reported burning'!F3055</f>
        <v>Grassland</v>
      </c>
      <c r="G3055" s="156" t="str">
        <f>'Reported burning'!G3055</f>
        <v>Grassland</v>
      </c>
      <c r="H3055" s="156" t="str">
        <f>'Reported burning'!H3055</f>
        <v>Presence</v>
      </c>
      <c r="I3055" s="5"/>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86</v>
      </c>
      <c r="Y3055" s="204" t="s">
        <v>86</v>
      </c>
      <c r="Z3055" s="204" t="s">
        <v>2276</v>
      </c>
      <c r="AA3055" s="204"/>
      <c r="AB3055" s="204"/>
    </row>
    <row r="3056" spans="1:28" ht="34.5" customHeight="1">
      <c r="A3056" s="156" t="str">
        <f>'Reported burning'!A3056</f>
        <v>333b</v>
      </c>
      <c r="B3056" s="156" t="str">
        <f>'Reported burning'!B3056</f>
        <v>333b.1</v>
      </c>
      <c r="C3056" s="156" t="str">
        <f>'Reported burning'!C3056</f>
        <v>Human, deliberate</v>
      </c>
      <c r="D3056" s="156" t="str">
        <f>'Reported burning'!D3056</f>
        <v>Pasture renewal</v>
      </c>
      <c r="E3056" s="156" t="str">
        <f>'Reported burning'!E3056</f>
        <v>Forestry, Traditional</v>
      </c>
      <c r="F3056" s="156" t="str">
        <f>'Reported burning'!F3056</f>
        <v>Grassland</v>
      </c>
      <c r="G3056" s="156" t="str">
        <f>'Reported burning'!G3056</f>
        <v>Grassland</v>
      </c>
      <c r="H3056" s="156" t="str">
        <f>'Reported burning'!H3056</f>
        <v>Presence</v>
      </c>
      <c r="I3056" s="5"/>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86</v>
      </c>
      <c r="Y3056" s="204" t="s">
        <v>86</v>
      </c>
      <c r="Z3056" s="204" t="s">
        <v>2276</v>
      </c>
      <c r="AA3056" s="204"/>
      <c r="AB3056" s="204"/>
    </row>
    <row r="3057" spans="1:28" ht="34.5" customHeight="1">
      <c r="A3057" s="156" t="str">
        <f>'Reported burning'!A3057</f>
        <v>333c</v>
      </c>
      <c r="B3057" s="156" t="str">
        <f>'Reported burning'!B3057</f>
        <v>333c.1</v>
      </c>
      <c r="C3057" s="156" t="str">
        <f>'Reported burning'!C3057</f>
        <v>Human, deliberate</v>
      </c>
      <c r="D3057" s="156" t="str">
        <f>'Reported burning'!D3057</f>
        <v>Pasture renewal</v>
      </c>
      <c r="E3057" s="156" t="str">
        <f>'Reported burning'!E3057</f>
        <v>Forestry, Traditional</v>
      </c>
      <c r="F3057" s="156" t="str">
        <f>'Reported burning'!F3057</f>
        <v>Grassland</v>
      </c>
      <c r="G3057" s="156" t="str">
        <f>'Reported burning'!G3057</f>
        <v>Grassland</v>
      </c>
      <c r="H3057" s="156" t="str">
        <f>'Reported burning'!H3057</f>
        <v>Presence</v>
      </c>
      <c r="I3057" s="5"/>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86</v>
      </c>
      <c r="Y3057" s="204" t="s">
        <v>86</v>
      </c>
      <c r="Z3057" s="204" t="s">
        <v>2276</v>
      </c>
      <c r="AA3057" s="204"/>
      <c r="AB3057" s="204"/>
    </row>
    <row r="3058" spans="1:28" ht="34.5" customHeight="1">
      <c r="A3058" s="156" t="str">
        <f>'Reported burning'!A3058</f>
        <v>333d</v>
      </c>
      <c r="B3058" s="156" t="str">
        <f>'Reported burning'!B3058</f>
        <v>333d.1</v>
      </c>
      <c r="C3058" s="156" t="str">
        <f>'Reported burning'!C3058</f>
        <v>Human, deliberate</v>
      </c>
      <c r="D3058" s="156" t="str">
        <f>'Reported burning'!D3058</f>
        <v>Pasture renewal</v>
      </c>
      <c r="E3058" s="156" t="str">
        <f>'Reported burning'!E3058</f>
        <v>Forestry, Traditional</v>
      </c>
      <c r="F3058" s="156" t="str">
        <f>'Reported burning'!F3058</f>
        <v>Grassland</v>
      </c>
      <c r="G3058" s="156" t="str">
        <f>'Reported burning'!G3058</f>
        <v>Grassland</v>
      </c>
      <c r="H3058" s="156" t="str">
        <f>'Reported burning'!H3058</f>
        <v>Presence</v>
      </c>
      <c r="I3058" s="5"/>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86</v>
      </c>
      <c r="Y3058" s="204" t="s">
        <v>86</v>
      </c>
      <c r="Z3058" s="204" t="s">
        <v>2276</v>
      </c>
      <c r="AA3058" s="204"/>
      <c r="AB3058" s="204"/>
    </row>
    <row r="3059" spans="1:28" ht="34.5" customHeight="1">
      <c r="A3059" s="156" t="str">
        <f>'Reported burning'!A3059</f>
        <v>333a</v>
      </c>
      <c r="B3059" s="156" t="str">
        <f>'Reported burning'!B3059</f>
        <v>333a.2</v>
      </c>
      <c r="C3059" s="156" t="str">
        <f>'Reported burning'!C3059</f>
        <v>All</v>
      </c>
      <c r="D3059" s="156" t="str">
        <f>'Reported burning'!D3059</f>
        <v>ND</v>
      </c>
      <c r="E3059" s="156" t="str">
        <f>'Reported burning'!E3059</f>
        <v>All</v>
      </c>
      <c r="F3059" s="156" t="str">
        <f>'Reported burning'!F3059</f>
        <v>ND</v>
      </c>
      <c r="G3059" s="156" t="str">
        <f>'Reported burning'!G3059</f>
        <v>Shrubland (Mixed forest &amp; grassland)</v>
      </c>
      <c r="H3059" s="156" t="str">
        <f>'Reported burning'!H3059</f>
        <v>Presence</v>
      </c>
      <c r="I3059" s="5"/>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86</v>
      </c>
      <c r="Y3059" s="204" t="s">
        <v>404</v>
      </c>
      <c r="Z3059" s="204" t="s">
        <v>2655</v>
      </c>
      <c r="AA3059" s="204"/>
      <c r="AB3059" s="204"/>
    </row>
    <row r="3060" spans="1:28" ht="34.5" customHeight="1">
      <c r="A3060" s="156" t="str">
        <f>'Reported burning'!A3060</f>
        <v>333b</v>
      </c>
      <c r="B3060" s="156" t="str">
        <f>'Reported burning'!B3060</f>
        <v>333b.2</v>
      </c>
      <c r="C3060" s="156" t="str">
        <f>'Reported burning'!C3060</f>
        <v>All</v>
      </c>
      <c r="D3060" s="156" t="str">
        <f>'Reported burning'!D3060</f>
        <v>ND</v>
      </c>
      <c r="E3060" s="156" t="str">
        <f>'Reported burning'!E3060</f>
        <v>All</v>
      </c>
      <c r="F3060" s="156" t="str">
        <f>'Reported burning'!F3060</f>
        <v>ND</v>
      </c>
      <c r="G3060" s="156" t="str">
        <f>'Reported burning'!G3060</f>
        <v>Shrubland (Mixed forest &amp; grassland)</v>
      </c>
      <c r="H3060" s="156" t="str">
        <f>'Reported burning'!H3060</f>
        <v>Presence</v>
      </c>
      <c r="I3060" s="5"/>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86</v>
      </c>
      <c r="Y3060" s="204" t="s">
        <v>404</v>
      </c>
      <c r="Z3060" s="204" t="s">
        <v>2655</v>
      </c>
      <c r="AA3060" s="204"/>
      <c r="AB3060" s="204"/>
    </row>
    <row r="3061" spans="1:28" ht="34.5" customHeight="1">
      <c r="A3061" s="156" t="str">
        <f>'Reported burning'!A3061</f>
        <v>333c</v>
      </c>
      <c r="B3061" s="156" t="str">
        <f>'Reported burning'!B3061</f>
        <v>333c.2</v>
      </c>
      <c r="C3061" s="156" t="str">
        <f>'Reported burning'!C3061</f>
        <v>All</v>
      </c>
      <c r="D3061" s="156" t="str">
        <f>'Reported burning'!D3061</f>
        <v>ND</v>
      </c>
      <c r="E3061" s="156" t="str">
        <f>'Reported burning'!E3061</f>
        <v>All</v>
      </c>
      <c r="F3061" s="156" t="str">
        <f>'Reported burning'!F3061</f>
        <v>ND</v>
      </c>
      <c r="G3061" s="156" t="str">
        <f>'Reported burning'!G3061</f>
        <v>Shrubland (Mixed forest &amp; grassland)</v>
      </c>
      <c r="H3061" s="156" t="str">
        <f>'Reported burning'!H3061</f>
        <v>Presence</v>
      </c>
      <c r="I3061" s="5"/>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86</v>
      </c>
      <c r="Y3061" s="204" t="s">
        <v>404</v>
      </c>
      <c r="Z3061" s="204" t="s">
        <v>2655</v>
      </c>
      <c r="AA3061" s="204"/>
      <c r="AB3061" s="204"/>
    </row>
    <row r="3062" spans="1:28" ht="34.5" customHeight="1">
      <c r="A3062" s="156" t="str">
        <f>'Reported burning'!A3062</f>
        <v>333d</v>
      </c>
      <c r="B3062" s="156" t="str">
        <f>'Reported burning'!B3062</f>
        <v>333d.2</v>
      </c>
      <c r="C3062" s="156" t="str">
        <f>'Reported burning'!C3062</f>
        <v>All</v>
      </c>
      <c r="D3062" s="156" t="str">
        <f>'Reported burning'!D3062</f>
        <v>ND</v>
      </c>
      <c r="E3062" s="156" t="str">
        <f>'Reported burning'!E3062</f>
        <v>All</v>
      </c>
      <c r="F3062" s="156" t="str">
        <f>'Reported burning'!F3062</f>
        <v>ND</v>
      </c>
      <c r="G3062" s="156" t="str">
        <f>'Reported burning'!G3062</f>
        <v>Shrubland (Mixed forest &amp; grassland)</v>
      </c>
      <c r="H3062" s="156" t="str">
        <f>'Reported burning'!H3062</f>
        <v>Presence</v>
      </c>
      <c r="I3062" s="5"/>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86</v>
      </c>
      <c r="Y3062" s="204" t="s">
        <v>404</v>
      </c>
      <c r="Z3062" s="204" t="s">
        <v>2655</v>
      </c>
      <c r="AA3062" s="204"/>
      <c r="AB3062" s="204"/>
    </row>
    <row r="3063" spans="1:28" ht="34.5" customHeight="1">
      <c r="A3063" s="156" t="str">
        <f>'Reported burning'!A3063</f>
        <v>333a</v>
      </c>
      <c r="B3063" s="156" t="str">
        <f>'Reported burning'!B3063</f>
        <v>333a.3</v>
      </c>
      <c r="C3063" s="156" t="str">
        <f>'Reported burning'!C3063</f>
        <v>Lightning</v>
      </c>
      <c r="D3063" s="156" t="str">
        <f>'Reported burning'!D3063</f>
        <v>ND</v>
      </c>
      <c r="E3063" s="156" t="str">
        <f>'Reported burning'!E3063</f>
        <v>All</v>
      </c>
      <c r="F3063" s="156" t="str">
        <f>'Reported burning'!F3063</f>
        <v>ND</v>
      </c>
      <c r="G3063" s="156" t="str">
        <f>'Reported burning'!G3063</f>
        <v>Shrubland (Mixed forest &amp; grassland)</v>
      </c>
      <c r="H3063" s="156" t="str">
        <f>'Reported burning'!H3063</f>
        <v>Presence</v>
      </c>
      <c r="I3063" s="5"/>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34</v>
      </c>
      <c r="Y3063" s="204" t="s">
        <v>404</v>
      </c>
      <c r="Z3063" s="204" t="s">
        <v>2655</v>
      </c>
      <c r="AA3063" s="204"/>
      <c r="AB3063" s="204"/>
    </row>
    <row r="3064" spans="1:28" ht="34.5" customHeight="1">
      <c r="A3064" s="156" t="str">
        <f>'Reported burning'!A3064</f>
        <v>333b</v>
      </c>
      <c r="B3064" s="156" t="str">
        <f>'Reported burning'!B3064</f>
        <v>333b.3</v>
      </c>
      <c r="C3064" s="156" t="str">
        <f>'Reported burning'!C3064</f>
        <v>Lightning</v>
      </c>
      <c r="D3064" s="156" t="str">
        <f>'Reported burning'!D3064</f>
        <v>ND</v>
      </c>
      <c r="E3064" s="156" t="str">
        <f>'Reported burning'!E3064</f>
        <v>All</v>
      </c>
      <c r="F3064" s="156" t="str">
        <f>'Reported burning'!F3064</f>
        <v>ND</v>
      </c>
      <c r="G3064" s="156" t="str">
        <f>'Reported burning'!G3064</f>
        <v>Shrubland (Mixed forest &amp; grassland)</v>
      </c>
      <c r="H3064" s="156" t="str">
        <f>'Reported burning'!H3064</f>
        <v>Presence</v>
      </c>
      <c r="I3064" s="5"/>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34</v>
      </c>
      <c r="Y3064" s="204" t="s">
        <v>404</v>
      </c>
      <c r="Z3064" s="204" t="s">
        <v>2655</v>
      </c>
      <c r="AA3064" s="204"/>
      <c r="AB3064" s="204"/>
    </row>
    <row r="3065" spans="1:28" ht="34.5" customHeight="1">
      <c r="A3065" s="156" t="str">
        <f>'Reported burning'!A3065</f>
        <v>333c</v>
      </c>
      <c r="B3065" s="156" t="str">
        <f>'Reported burning'!B3065</f>
        <v>333c.3</v>
      </c>
      <c r="C3065" s="156" t="str">
        <f>'Reported burning'!C3065</f>
        <v>Lightning</v>
      </c>
      <c r="D3065" s="156" t="str">
        <f>'Reported burning'!D3065</f>
        <v>ND</v>
      </c>
      <c r="E3065" s="156" t="str">
        <f>'Reported burning'!E3065</f>
        <v>All</v>
      </c>
      <c r="F3065" s="156" t="str">
        <f>'Reported burning'!F3065</f>
        <v>ND</v>
      </c>
      <c r="G3065" s="156" t="str">
        <f>'Reported burning'!G3065</f>
        <v>Shrubland (Mixed forest &amp; grassland)</v>
      </c>
      <c r="H3065" s="156" t="str">
        <f>'Reported burning'!H3065</f>
        <v>Presence</v>
      </c>
      <c r="I3065" s="5"/>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34</v>
      </c>
      <c r="Y3065" s="204" t="s">
        <v>404</v>
      </c>
      <c r="Z3065" s="204" t="s">
        <v>2655</v>
      </c>
      <c r="AA3065" s="204"/>
      <c r="AB3065" s="204"/>
    </row>
    <row r="3066" spans="1:28" ht="34.5" customHeight="1">
      <c r="A3066" s="156" t="str">
        <f>'Reported burning'!A3066</f>
        <v>333d</v>
      </c>
      <c r="B3066" s="156" t="str">
        <f>'Reported burning'!B3066</f>
        <v>333d.3</v>
      </c>
      <c r="C3066" s="156" t="str">
        <f>'Reported burning'!C3066</f>
        <v>Lightning</v>
      </c>
      <c r="D3066" s="156" t="str">
        <f>'Reported burning'!D3066</f>
        <v>ND</v>
      </c>
      <c r="E3066" s="156" t="str">
        <f>'Reported burning'!E3066</f>
        <v>All</v>
      </c>
      <c r="F3066" s="156" t="str">
        <f>'Reported burning'!F3066</f>
        <v>ND</v>
      </c>
      <c r="G3066" s="156" t="str">
        <f>'Reported burning'!G3066</f>
        <v>Shrubland (Mixed forest &amp; grassland)</v>
      </c>
      <c r="H3066" s="156" t="str">
        <f>'Reported burning'!H3066</f>
        <v>Presence</v>
      </c>
      <c r="I3066" s="5"/>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34</v>
      </c>
      <c r="Y3066" s="204" t="s">
        <v>404</v>
      </c>
      <c r="Z3066" s="204" t="s">
        <v>2655</v>
      </c>
      <c r="AA3066" s="204"/>
      <c r="AB3066" s="204"/>
    </row>
    <row r="3067" spans="1:28" ht="34.5" customHeight="1">
      <c r="A3067" s="156" t="str">
        <f>'Reported burning'!A3067</f>
        <v>334a</v>
      </c>
      <c r="B3067" s="156" t="str">
        <f>'Reported burning'!B3067</f>
        <v>334a.1</v>
      </c>
      <c r="C3067" s="156" t="str">
        <f>'Reported burning'!C3067</f>
        <v>Human, deliberate</v>
      </c>
      <c r="D3067" s="156" t="str">
        <f>'Reported burning'!D3067</f>
        <v>Hunting</v>
      </c>
      <c r="E3067" s="156" t="str">
        <f>'Reported burning'!E3067</f>
        <v>Forestry, Traditional</v>
      </c>
      <c r="F3067" s="156" t="str">
        <f>'Reported burning'!F3067</f>
        <v>Shrubland (Mixed forest &amp; grassland)</v>
      </c>
      <c r="G3067" s="156" t="str">
        <f>'Reported burning'!G3067</f>
        <v>Shrubland (Mixed forest &amp; grassland)</v>
      </c>
      <c r="H3067" s="156" t="str">
        <f>'Reported burning'!H3067</f>
        <v>Presence</v>
      </c>
      <c r="I3067" s="5"/>
      <c r="J3067" s="204" t="s">
        <v>2276</v>
      </c>
      <c r="K3067" s="204" t="s">
        <v>2276</v>
      </c>
      <c r="L3067" s="21" t="s">
        <v>2362</v>
      </c>
      <c r="M3067" s="204" t="s">
        <v>2276</v>
      </c>
      <c r="N3067" s="204" t="s">
        <v>2276</v>
      </c>
      <c r="O3067" s="204" t="s">
        <v>2276</v>
      </c>
      <c r="P3067" s="21" t="s">
        <v>2362</v>
      </c>
      <c r="Q3067" s="204" t="s">
        <v>2276</v>
      </c>
      <c r="R3067" s="21" t="s">
        <v>2362</v>
      </c>
      <c r="S3067" s="204" t="s">
        <v>2276</v>
      </c>
      <c r="T3067" s="204" t="s">
        <v>2276</v>
      </c>
      <c r="U3067" s="204" t="s">
        <v>2276</v>
      </c>
      <c r="V3067" s="14" t="s">
        <v>2393</v>
      </c>
      <c r="W3067" s="204" t="s">
        <v>2276</v>
      </c>
      <c r="X3067" s="204" t="s">
        <v>425</v>
      </c>
      <c r="Y3067" s="204" t="s">
        <v>68</v>
      </c>
      <c r="Z3067" s="204" t="s">
        <v>76</v>
      </c>
      <c r="AA3067" s="4" t="s">
        <v>8267</v>
      </c>
      <c r="AB3067" s="4" t="s">
        <v>8268</v>
      </c>
    </row>
    <row r="3068" spans="1:28" ht="34.5" customHeight="1">
      <c r="A3068" s="156" t="str">
        <f>'Reported burning'!A3068</f>
        <v>334a</v>
      </c>
      <c r="B3068" s="156" t="str">
        <f>'Reported burning'!B3068</f>
        <v>334a.2</v>
      </c>
      <c r="C3068" s="156" t="str">
        <f>'Reported burning'!C3068</f>
        <v>Human, deliberate</v>
      </c>
      <c r="D3068" s="156" t="str">
        <f>'Reported burning'!D3068</f>
        <v>Accessibility</v>
      </c>
      <c r="E3068" s="156" t="str">
        <f>'Reported burning'!E3068</f>
        <v>Forestry, Traditional</v>
      </c>
      <c r="F3068" s="156" t="str">
        <f>'Reported burning'!F3068</f>
        <v>Shrubland (Mixed forest &amp; grassland)</v>
      </c>
      <c r="G3068" s="156" t="str">
        <f>'Reported burning'!G3068</f>
        <v>Shrubland (Mixed forest &amp; grassland)</v>
      </c>
      <c r="H3068" s="156" t="str">
        <f>'Reported burning'!H3068</f>
        <v>Presence</v>
      </c>
      <c r="I3068" s="5"/>
      <c r="J3068" s="204" t="s">
        <v>2276</v>
      </c>
      <c r="K3068" s="204" t="s">
        <v>2276</v>
      </c>
      <c r="L3068" s="21" t="s">
        <v>2362</v>
      </c>
      <c r="M3068" s="204" t="s">
        <v>2276</v>
      </c>
      <c r="N3068" s="204" t="s">
        <v>2276</v>
      </c>
      <c r="O3068" s="204" t="s">
        <v>2276</v>
      </c>
      <c r="P3068" s="21" t="s">
        <v>2362</v>
      </c>
      <c r="Q3068" s="204" t="s">
        <v>2276</v>
      </c>
      <c r="R3068" s="21" t="s">
        <v>2362</v>
      </c>
      <c r="S3068" s="204" t="s">
        <v>2276</v>
      </c>
      <c r="T3068" s="204" t="s">
        <v>2276</v>
      </c>
      <c r="U3068" s="204" t="s">
        <v>2276</v>
      </c>
      <c r="V3068" s="204" t="s">
        <v>2276</v>
      </c>
      <c r="W3068" s="204" t="s">
        <v>2276</v>
      </c>
      <c r="X3068" s="204" t="s">
        <v>425</v>
      </c>
      <c r="Y3068" s="204" t="s">
        <v>68</v>
      </c>
      <c r="Z3068" s="204" t="s">
        <v>76</v>
      </c>
      <c r="AA3068" s="204"/>
      <c r="AB3068" s="4" t="s">
        <v>8268</v>
      </c>
    </row>
    <row r="3069" spans="1:28" ht="50" customHeight="1">
      <c r="A3069" s="156" t="str">
        <f>'Reported burning'!A3069</f>
        <v>334a</v>
      </c>
      <c r="B3069" s="156" t="str">
        <f>'Reported burning'!B3069</f>
        <v>334a.3</v>
      </c>
      <c r="C3069" s="156" t="str">
        <f>'Reported burning'!C3069</f>
        <v>Human, deliberate</v>
      </c>
      <c r="D3069" s="156" t="str">
        <f>'Reported burning'!D3069</f>
        <v>Pyrome management</v>
      </c>
      <c r="E3069" s="156" t="str">
        <f>'Reported burning'!E3069</f>
        <v>Forestry, Traditional</v>
      </c>
      <c r="F3069" s="156" t="str">
        <f>'Reported burning'!F3069</f>
        <v>Shrubland (Mixed forest &amp; grassland)</v>
      </c>
      <c r="G3069" s="156" t="str">
        <f>'Reported burning'!G3069</f>
        <v>Shrubland (Mixed forest &amp; grassland)</v>
      </c>
      <c r="H3069" s="156" t="str">
        <f>'Reported burning'!H3069</f>
        <v>Presence</v>
      </c>
      <c r="I3069" s="5"/>
      <c r="J3069" s="204" t="s">
        <v>2276</v>
      </c>
      <c r="K3069" s="204" t="s">
        <v>2276</v>
      </c>
      <c r="L3069" s="21" t="s">
        <v>2362</v>
      </c>
      <c r="M3069" s="204" t="s">
        <v>2276</v>
      </c>
      <c r="N3069" s="204" t="s">
        <v>2276</v>
      </c>
      <c r="O3069" s="204" t="s">
        <v>2276</v>
      </c>
      <c r="P3069" s="21" t="s">
        <v>2362</v>
      </c>
      <c r="Q3069" s="204" t="s">
        <v>2276</v>
      </c>
      <c r="R3069" s="21" t="s">
        <v>2362</v>
      </c>
      <c r="S3069" s="204" t="s">
        <v>2276</v>
      </c>
      <c r="T3069" s="204" t="s">
        <v>2276</v>
      </c>
      <c r="U3069" s="204" t="s">
        <v>2276</v>
      </c>
      <c r="V3069" s="204" t="s">
        <v>2276</v>
      </c>
      <c r="W3069" s="204" t="s">
        <v>2276</v>
      </c>
      <c r="X3069" s="38" t="s">
        <v>189</v>
      </c>
      <c r="Y3069" s="38" t="s">
        <v>38</v>
      </c>
      <c r="Z3069" s="38" t="s">
        <v>2655</v>
      </c>
      <c r="AA3069" s="168" t="s">
        <v>8266</v>
      </c>
      <c r="AB3069" s="4" t="s">
        <v>8268</v>
      </c>
    </row>
    <row r="3070" spans="1:28" ht="50" customHeight="1">
      <c r="A3070" s="156" t="str">
        <f>'Reported burning'!A3070</f>
        <v>334a</v>
      </c>
      <c r="B3070" s="156" t="str">
        <f>'Reported burning'!B3070</f>
        <v>334a.4</v>
      </c>
      <c r="C3070" s="156" t="str">
        <f>'Reported burning'!C3070</f>
        <v>Human, deliberate</v>
      </c>
      <c r="D3070" s="156" t="str">
        <f>'Reported burning'!D3070</f>
        <v>Fishing</v>
      </c>
      <c r="E3070" s="156" t="str">
        <f>'Reported burning'!E3070</f>
        <v>Forestry, Traditional</v>
      </c>
      <c r="F3070" s="156" t="str">
        <f>'Reported burning'!F3070</f>
        <v>Shrubland (Mixed forest &amp; grassland)</v>
      </c>
      <c r="G3070" s="156" t="str">
        <f>'Reported burning'!G3070</f>
        <v>Shrubland (Mixed forest &amp; grassland)</v>
      </c>
      <c r="H3070" s="156" t="str">
        <f>'Reported burning'!H3070</f>
        <v>Presence</v>
      </c>
      <c r="I3070" s="5"/>
      <c r="J3070" s="204" t="s">
        <v>2276</v>
      </c>
      <c r="K3070" s="204" t="s">
        <v>2276</v>
      </c>
      <c r="L3070" s="21" t="s">
        <v>2362</v>
      </c>
      <c r="M3070" s="204" t="s">
        <v>2276</v>
      </c>
      <c r="N3070" s="204" t="s">
        <v>2276</v>
      </c>
      <c r="O3070" s="204" t="s">
        <v>2276</v>
      </c>
      <c r="P3070" s="21" t="s">
        <v>2362</v>
      </c>
      <c r="Q3070" s="204" t="s">
        <v>2276</v>
      </c>
      <c r="R3070" s="21" t="s">
        <v>2362</v>
      </c>
      <c r="S3070" s="204" t="s">
        <v>2276</v>
      </c>
      <c r="T3070" s="204" t="s">
        <v>2276</v>
      </c>
      <c r="U3070" s="204" t="s">
        <v>2276</v>
      </c>
      <c r="V3070" s="204" t="s">
        <v>2276</v>
      </c>
      <c r="W3070" s="204" t="s">
        <v>2276</v>
      </c>
      <c r="X3070" s="204" t="s">
        <v>38</v>
      </c>
      <c r="Y3070" s="204" t="s">
        <v>34</v>
      </c>
      <c r="Z3070" s="204" t="s">
        <v>2655</v>
      </c>
      <c r="AA3070" s="168" t="s">
        <v>8266</v>
      </c>
      <c r="AB3070" s="4" t="s">
        <v>8268</v>
      </c>
    </row>
    <row r="3071" spans="1:28" ht="50" customHeight="1">
      <c r="A3071" s="156" t="str">
        <f>'Reported burning'!A3071</f>
        <v>334a</v>
      </c>
      <c r="B3071" s="156" t="str">
        <f>'Reported burning'!B3071</f>
        <v>334a.5</v>
      </c>
      <c r="C3071" s="156" t="str">
        <f>'Reported burning'!C3071</f>
        <v>Human, deliberate</v>
      </c>
      <c r="D3071" s="156" t="str">
        <f>'Reported burning'!D3071</f>
        <v>Harvesting of NTFP</v>
      </c>
      <c r="E3071" s="156" t="str">
        <f>'Reported burning'!E3071</f>
        <v>Forestry, Traditional</v>
      </c>
      <c r="F3071" s="156" t="str">
        <f>'Reported burning'!F3071</f>
        <v>Shrubland (Mixed forest &amp; grassland)</v>
      </c>
      <c r="G3071" s="156" t="str">
        <f>'Reported burning'!G3071</f>
        <v>Shrubland (Mixed forest &amp; grassland)</v>
      </c>
      <c r="H3071" s="156" t="str">
        <f>'Reported burning'!H3071</f>
        <v>Presence</v>
      </c>
      <c r="I3071" s="5"/>
      <c r="J3071" s="204" t="s">
        <v>2276</v>
      </c>
      <c r="K3071" s="204" t="s">
        <v>2276</v>
      </c>
      <c r="L3071" s="21" t="s">
        <v>2362</v>
      </c>
      <c r="M3071" s="204" t="s">
        <v>2276</v>
      </c>
      <c r="N3071" s="204" t="s">
        <v>2276</v>
      </c>
      <c r="O3071" s="204" t="s">
        <v>2276</v>
      </c>
      <c r="P3071" s="21" t="s">
        <v>2362</v>
      </c>
      <c r="Q3071" s="204" t="s">
        <v>2276</v>
      </c>
      <c r="R3071" s="21" t="s">
        <v>2362</v>
      </c>
      <c r="S3071" s="204" t="s">
        <v>2276</v>
      </c>
      <c r="T3071" s="204" t="s">
        <v>2276</v>
      </c>
      <c r="U3071" s="204" t="s">
        <v>2276</v>
      </c>
      <c r="V3071" s="204" t="s">
        <v>2276</v>
      </c>
      <c r="W3071" s="204" t="s">
        <v>2276</v>
      </c>
      <c r="X3071" s="204" t="s">
        <v>38</v>
      </c>
      <c r="Y3071" s="204" t="s">
        <v>34</v>
      </c>
      <c r="Z3071" s="204" t="s">
        <v>64</v>
      </c>
      <c r="AA3071" s="4"/>
      <c r="AB3071" s="4" t="s">
        <v>8268</v>
      </c>
    </row>
    <row r="3072" spans="1:28" ht="50" customHeight="1">
      <c r="A3072" s="156" t="str">
        <f>'Reported burning'!A3072</f>
        <v>334a</v>
      </c>
      <c r="B3072" s="156" t="str">
        <f>'Reported burning'!B3072</f>
        <v>334a.6</v>
      </c>
      <c r="C3072" s="156" t="str">
        <f>'Reported burning'!C3072</f>
        <v>Human, deliberate</v>
      </c>
      <c r="D3072" s="156" t="str">
        <f>'Reported burning'!D3072</f>
        <v>Pyrome management</v>
      </c>
      <c r="E3072" s="156" t="str">
        <f>'Reported burning'!E3072</f>
        <v>Forestry, Traditional</v>
      </c>
      <c r="F3072" s="156" t="str">
        <f>'Reported burning'!F3072</f>
        <v>Shrubland (Mixed forest &amp; grassland)</v>
      </c>
      <c r="G3072" s="156" t="str">
        <f>'Reported burning'!G3072</f>
        <v>Shrubland (Mixed forest &amp; grassland)</v>
      </c>
      <c r="H3072" s="156" t="str">
        <f>'Reported burning'!H3072</f>
        <v>Presence</v>
      </c>
      <c r="I3072" s="5"/>
      <c r="J3072" s="204" t="s">
        <v>2276</v>
      </c>
      <c r="K3072" s="204" t="s">
        <v>2276</v>
      </c>
      <c r="L3072" s="21" t="s">
        <v>2362</v>
      </c>
      <c r="M3072" s="204" t="s">
        <v>2276</v>
      </c>
      <c r="N3072" s="204" t="s">
        <v>2276</v>
      </c>
      <c r="O3072" s="204" t="s">
        <v>2276</v>
      </c>
      <c r="P3072" s="21" t="s">
        <v>2362</v>
      </c>
      <c r="Q3072" s="204" t="s">
        <v>2276</v>
      </c>
      <c r="R3072" s="21" t="s">
        <v>2362</v>
      </c>
      <c r="S3072" s="204" t="s">
        <v>2276</v>
      </c>
      <c r="T3072" s="204" t="s">
        <v>2276</v>
      </c>
      <c r="U3072" s="204" t="s">
        <v>2276</v>
      </c>
      <c r="V3072" s="204" t="s">
        <v>2276</v>
      </c>
      <c r="W3072" s="204" t="s">
        <v>2276</v>
      </c>
      <c r="X3072" s="204" t="s">
        <v>34</v>
      </c>
      <c r="Y3072" s="204" t="s">
        <v>405</v>
      </c>
      <c r="Z3072" s="204" t="s">
        <v>64</v>
      </c>
      <c r="AA3072" s="4" t="s">
        <v>8265</v>
      </c>
      <c r="AB3072" s="4" t="s">
        <v>8268</v>
      </c>
    </row>
    <row r="3073" spans="1:28" ht="50" customHeight="1">
      <c r="A3073" s="152" t="str">
        <f>'Reported burning'!A3073</f>
        <v>335a</v>
      </c>
      <c r="B3073" s="152" t="str">
        <f>'Reported burning'!B3073</f>
        <v>335a.1</v>
      </c>
      <c r="C3073" s="152" t="str">
        <f>'Reported burning'!C3073</f>
        <v>Human, deliberate</v>
      </c>
      <c r="D3073" s="152" t="str">
        <f>'Reported burning'!D3073</f>
        <v>Hunting</v>
      </c>
      <c r="E3073" s="152" t="str">
        <f>'Reported burning'!E3073</f>
        <v>Forestry, Traditional</v>
      </c>
      <c r="F3073" s="152" t="str">
        <f>'Reported burning'!F3073</f>
        <v>Forest</v>
      </c>
      <c r="G3073" s="152" t="str">
        <f>'Reported burning'!G3073</f>
        <v>Forest</v>
      </c>
      <c r="H3073" s="152" t="str">
        <f>'Reported burning'!H3073</f>
        <v>Absence</v>
      </c>
      <c r="I3073" s="204"/>
      <c r="J3073" s="21">
        <v>0</v>
      </c>
      <c r="K3073" s="21">
        <v>0</v>
      </c>
      <c r="L3073" s="21">
        <v>0</v>
      </c>
      <c r="M3073" s="21">
        <v>0</v>
      </c>
      <c r="N3073" s="21">
        <v>0</v>
      </c>
      <c r="O3073" s="21">
        <v>0</v>
      </c>
      <c r="P3073" s="21">
        <v>0</v>
      </c>
      <c r="Q3073" s="21">
        <v>0</v>
      </c>
      <c r="R3073" s="21">
        <v>0</v>
      </c>
      <c r="S3073" s="21">
        <v>0</v>
      </c>
      <c r="T3073" s="21">
        <v>0</v>
      </c>
      <c r="U3073" s="21">
        <v>0</v>
      </c>
      <c r="V3073" s="21">
        <v>0</v>
      </c>
      <c r="W3073" s="204" t="s">
        <v>2276</v>
      </c>
      <c r="X3073" s="204" t="s">
        <v>2276</v>
      </c>
      <c r="Y3073" s="204" t="s">
        <v>2276</v>
      </c>
      <c r="Z3073" s="204" t="s">
        <v>2276</v>
      </c>
      <c r="AA3073" s="204"/>
      <c r="AB3073" s="204"/>
    </row>
    <row r="3074" spans="1:28" ht="50" customHeight="1">
      <c r="A3074" s="152" t="str">
        <f>'Reported burning'!A3074</f>
        <v>335a</v>
      </c>
      <c r="B3074" s="152" t="str">
        <f>'Reported burning'!B3074</f>
        <v>335a.2</v>
      </c>
      <c r="C3074" s="152" t="str">
        <f>'Reported burning'!C3074</f>
        <v>Lightning</v>
      </c>
      <c r="D3074" s="152" t="str">
        <f>'Reported burning'!D3074</f>
        <v>ND</v>
      </c>
      <c r="E3074" s="152" t="str">
        <f>'Reported burning'!E3074</f>
        <v>All</v>
      </c>
      <c r="F3074" s="152" t="str">
        <f>'Reported burning'!F3074</f>
        <v>ND</v>
      </c>
      <c r="G3074" s="152" t="str">
        <f>'Reported burning'!G3074</f>
        <v>Forest</v>
      </c>
      <c r="H3074" s="152" t="str">
        <f>'Reported burning'!H3074</f>
        <v>Presence</v>
      </c>
      <c r="I3074" s="204"/>
      <c r="J3074" s="204" t="s">
        <v>2276</v>
      </c>
      <c r="K3074" s="204" t="s">
        <v>2276</v>
      </c>
      <c r="L3074" s="204" t="s">
        <v>2276</v>
      </c>
      <c r="M3074" s="204" t="s">
        <v>2276</v>
      </c>
      <c r="N3074" s="21" t="s">
        <v>2386</v>
      </c>
      <c r="O3074" s="204" t="s">
        <v>2276</v>
      </c>
      <c r="P3074" s="204" t="s">
        <v>2276</v>
      </c>
      <c r="Q3074" s="204" t="s">
        <v>2276</v>
      </c>
      <c r="R3074" s="204" t="s">
        <v>2276</v>
      </c>
      <c r="S3074" s="204" t="s">
        <v>2276</v>
      </c>
      <c r="T3074" s="204" t="s">
        <v>2276</v>
      </c>
      <c r="U3074" s="204" t="s">
        <v>2276</v>
      </c>
      <c r="V3074" s="204" t="s">
        <v>2276</v>
      </c>
      <c r="W3074" s="204" t="s">
        <v>2276</v>
      </c>
      <c r="X3074" s="204" t="s">
        <v>2276</v>
      </c>
      <c r="Y3074" s="204" t="s">
        <v>2276</v>
      </c>
      <c r="Z3074" s="204" t="s">
        <v>2276</v>
      </c>
      <c r="AA3074" s="204"/>
      <c r="AB3074" s="204"/>
    </row>
    <row r="3075" spans="1:28" ht="33.5" customHeight="1">
      <c r="A3075" s="156" t="str">
        <f>'Reported burning'!A3075</f>
        <v>335a</v>
      </c>
      <c r="B3075" s="156" t="str">
        <f>'Reported burning'!B3075</f>
        <v>335a.3</v>
      </c>
      <c r="C3075" s="156" t="str">
        <f>'Reported burning'!C3075</f>
        <v>Human, deliberate</v>
      </c>
      <c r="D3075" s="156" t="str">
        <f>'Reported burning'!D3075</f>
        <v>Hunting</v>
      </c>
      <c r="E3075" s="156" t="str">
        <f>'Reported burning'!E3075</f>
        <v>Forestry, Traditional</v>
      </c>
      <c r="F3075" s="156" t="str">
        <f>'Reported burning'!F3075</f>
        <v>Forest</v>
      </c>
      <c r="G3075" s="156" t="str">
        <f>'Reported burning'!G3075</f>
        <v>Forest</v>
      </c>
      <c r="H3075" s="156" t="str">
        <f>'Reported burning'!H3075</f>
        <v>Presence</v>
      </c>
      <c r="I3075" s="5"/>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1" t="s">
        <v>2402</v>
      </c>
      <c r="X3075" s="204" t="s">
        <v>189</v>
      </c>
      <c r="Y3075" s="204" t="s">
        <v>38</v>
      </c>
      <c r="Z3075" s="204" t="s">
        <v>2276</v>
      </c>
      <c r="AA3075" s="204"/>
      <c r="AB3075" s="204"/>
    </row>
    <row r="3076" spans="1:28" ht="33.5" customHeight="1">
      <c r="A3076" s="156" t="str">
        <f>'Reported burning'!A3076</f>
        <v>335a</v>
      </c>
      <c r="B3076" s="156" t="str">
        <f>'Reported burning'!B3076</f>
        <v>335a.4</v>
      </c>
      <c r="C3076" s="156" t="str">
        <f>'Reported burning'!C3076</f>
        <v>Human, deliberate</v>
      </c>
      <c r="D3076" s="156" t="str">
        <f>'Reported burning'!D3076</f>
        <v>Harvesting of NTFP</v>
      </c>
      <c r="E3076" s="156" t="str">
        <f>'Reported burning'!E3076</f>
        <v>Forestry, Traditional</v>
      </c>
      <c r="F3076" s="156" t="str">
        <f>'Reported burning'!F3076</f>
        <v>Forest</v>
      </c>
      <c r="G3076" s="156" t="str">
        <f>'Reported burning'!G3076</f>
        <v>Forest</v>
      </c>
      <c r="H3076" s="156" t="str">
        <f>'Reported burning'!H3076</f>
        <v>Presence</v>
      </c>
      <c r="I3076" s="5"/>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1" t="s">
        <v>2402</v>
      </c>
      <c r="X3076" s="204" t="s">
        <v>189</v>
      </c>
      <c r="Y3076" s="204" t="s">
        <v>38</v>
      </c>
      <c r="Z3076" s="204" t="s">
        <v>2276</v>
      </c>
      <c r="AA3076" s="204"/>
      <c r="AB3076" s="204"/>
    </row>
    <row r="3077" spans="1:28" ht="40.5" customHeight="1">
      <c r="A3077" s="156" t="str">
        <f>'Reported burning'!A3077</f>
        <v>336a</v>
      </c>
      <c r="B3077" s="156" t="str">
        <f>'Reported burning'!B3077</f>
        <v>336a.1</v>
      </c>
      <c r="C3077" s="156" t="str">
        <f>'Reported burning'!C3077</f>
        <v>Human, deliberate</v>
      </c>
      <c r="D3077" s="156" t="str">
        <f>'Reported burning'!D3077</f>
        <v>Pyrome management</v>
      </c>
      <c r="E3077" s="156" t="str">
        <f>'Reported burning'!E3077</f>
        <v>Forestry, Traditional</v>
      </c>
      <c r="F3077" s="156" t="str">
        <f>'Reported burning'!F3077</f>
        <v>Shrubland (Mixed forest &amp; grassland)</v>
      </c>
      <c r="G3077" s="156" t="str">
        <f>'Reported burning'!G3077</f>
        <v>Shrubland (Mixed forest &amp; grassland)</v>
      </c>
      <c r="H3077" s="156" t="str">
        <f>'Reported burning'!H3077</f>
        <v>Presence</v>
      </c>
      <c r="I3077" s="5"/>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c r="AB3077" s="204"/>
    </row>
    <row r="3078" spans="1:28" ht="31" customHeight="1">
      <c r="A3078" s="156" t="str">
        <f>'Reported burning'!A3078</f>
        <v>336b</v>
      </c>
      <c r="B3078" s="156" t="str">
        <f>'Reported burning'!B3078</f>
        <v>336b.1</v>
      </c>
      <c r="C3078" s="156" t="str">
        <f>'Reported burning'!C3078</f>
        <v>Human, deliberate</v>
      </c>
      <c r="D3078" s="156" t="str">
        <f>'Reported burning'!D3078</f>
        <v>Pyrome management</v>
      </c>
      <c r="E3078" s="156" t="str">
        <f>'Reported burning'!E3078</f>
        <v>Forestry, Traditional</v>
      </c>
      <c r="F3078" s="156" t="str">
        <f>'Reported burning'!F3078</f>
        <v>Shrubland (Mixed forest &amp; grassland)</v>
      </c>
      <c r="G3078" s="156" t="str">
        <f>'Reported burning'!G3078</f>
        <v>Shrubland (Mixed forest &amp; grassland)</v>
      </c>
      <c r="H3078" s="156" t="str">
        <f>'Reported burning'!H3078</f>
        <v>Presence</v>
      </c>
      <c r="I3078" s="5"/>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c r="AB3078" s="204"/>
    </row>
    <row r="3079" spans="1:28" ht="39.5" customHeight="1">
      <c r="A3079" s="156" t="str">
        <f>'Reported burning'!A3079</f>
        <v>336c</v>
      </c>
      <c r="B3079" s="156" t="str">
        <f>'Reported burning'!B3079</f>
        <v>336c.1</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Presence</v>
      </c>
      <c r="I3079" s="5"/>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c r="AB3079" s="204"/>
    </row>
    <row r="3080" spans="1:28" ht="39.5" customHeight="1">
      <c r="A3080" s="156" t="str">
        <f>'Reported burning'!A3080</f>
        <v>336a</v>
      </c>
      <c r="B3080" s="156" t="str">
        <f>'Reported burning'!B3080</f>
        <v>336a.2</v>
      </c>
      <c r="C3080" s="156" t="str">
        <f>'Reported burning'!C3080</f>
        <v>Human, deliberate</v>
      </c>
      <c r="D3080" s="156" t="str">
        <f>'Reported burning'!D3080</f>
        <v>Pyrome management</v>
      </c>
      <c r="E3080" s="156" t="str">
        <f>'Reported burning'!E3080</f>
        <v>Fire suppression agent</v>
      </c>
      <c r="F3080" s="156" t="str">
        <f>'Reported burning'!F3080</f>
        <v>Shrubland (Mixed forest &amp; grassland)</v>
      </c>
      <c r="G3080" s="156" t="str">
        <f>'Reported burning'!G3080</f>
        <v>Shrubland (Mixed forest &amp; grassland)</v>
      </c>
      <c r="H3080" s="156" t="str">
        <f>'Reported burning'!H3080</f>
        <v>Presence</v>
      </c>
      <c r="I3080" s="5"/>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c r="AB3080" s="204"/>
    </row>
    <row r="3081" spans="1:28" ht="39.5" customHeight="1">
      <c r="A3081" s="156" t="str">
        <f>'Reported burning'!A3081</f>
        <v>336b</v>
      </c>
      <c r="B3081" s="156" t="str">
        <f>'Reported burning'!B3081</f>
        <v>336b.2</v>
      </c>
      <c r="C3081" s="156" t="str">
        <f>'Reported burning'!C3081</f>
        <v>Human, deliberate</v>
      </c>
      <c r="D3081" s="156" t="str">
        <f>'Reported burning'!D3081</f>
        <v>Pyrome management</v>
      </c>
      <c r="E3081" s="156" t="str">
        <f>'Reported burning'!E3081</f>
        <v>Fire suppression agent</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c r="AB3081" s="204"/>
    </row>
    <row r="3082" spans="1:28" ht="39.5" customHeight="1">
      <c r="A3082" s="156" t="str">
        <f>'Reported burning'!A3082</f>
        <v>336c</v>
      </c>
      <c r="B3082" s="156" t="str">
        <f>'Reported burning'!B3082</f>
        <v>336c.2</v>
      </c>
      <c r="C3082" s="156" t="str">
        <f>'Reported burning'!C3082</f>
        <v>Human, deliberate</v>
      </c>
      <c r="D3082" s="156" t="str">
        <f>'Reported burning'!D3082</f>
        <v>Pyrome management</v>
      </c>
      <c r="E3082" s="156" t="str">
        <f>'Reported burning'!E3082</f>
        <v>Fire suppression agent</v>
      </c>
      <c r="F3082" s="156" t="str">
        <f>'Reported burning'!F3082</f>
        <v>Shrubland (Mixed forest &amp; grassland)</v>
      </c>
      <c r="G3082" s="156" t="str">
        <f>'Reported burning'!G3082</f>
        <v>Shrubland (Mixed forest &amp; grassland)</v>
      </c>
      <c r="H3082" s="156" t="str">
        <f>'Reported burning'!H3082</f>
        <v>Presence</v>
      </c>
      <c r="I3082" s="5"/>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c r="AB3082" s="204"/>
    </row>
    <row r="3083" spans="1:28" ht="39.5" customHeight="1">
      <c r="A3083" s="156" t="str">
        <f>'Reported burning'!A3083</f>
        <v>336c</v>
      </c>
      <c r="B3083" s="156" t="str">
        <f>'Reported burning'!B3083</f>
        <v>336c.3</v>
      </c>
      <c r="C3083" s="156" t="str">
        <f>'Reported burning'!C3083</f>
        <v>Human, deliberate</v>
      </c>
      <c r="D3083" s="156" t="str">
        <f>'Reported burning'!D3083</f>
        <v>Harvesting of NTFP</v>
      </c>
      <c r="E3083" s="156" t="str">
        <f>'Reported burning'!E3083</f>
        <v>Forestry, Traditional</v>
      </c>
      <c r="F3083" s="156" t="str">
        <f>'Reported burning'!F3083</f>
        <v>Shrubland (Mixed forest &amp; grassland)</v>
      </c>
      <c r="G3083" s="156" t="str">
        <f>'Reported burning'!G3083</f>
        <v>Shrubland (Mixed forest &amp; grassland)</v>
      </c>
      <c r="H3083" s="156" t="str">
        <f>'Reported burning'!H3083</f>
        <v>Presence</v>
      </c>
      <c r="I3083" s="5"/>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c r="AB3083" s="204"/>
    </row>
    <row r="3084" spans="1:28" ht="39.5" customHeight="1">
      <c r="A3084" s="156" t="str">
        <f>'Reported burning'!A3084</f>
        <v>337a</v>
      </c>
      <c r="B3084" s="156" t="str">
        <f>'Reported burning'!B3084</f>
        <v>337a.1</v>
      </c>
      <c r="C3084" s="156" t="str">
        <f>'Reported burning'!C3084</f>
        <v>Human, deliberate</v>
      </c>
      <c r="D3084" s="156" t="str">
        <f>'Reported burning'!D3084</f>
        <v>Cultural &amp; Spiritual</v>
      </c>
      <c r="E3084" s="156" t="str">
        <f>'Reported burning'!E3084</f>
        <v>Forestry, Traditional</v>
      </c>
      <c r="F3084" s="156" t="str">
        <f>'Reported burning'!F3084</f>
        <v>Shrubland (Mixed forest &amp; grassland)</v>
      </c>
      <c r="G3084" s="156" t="str">
        <f>'Reported burning'!G3084</f>
        <v>Shrubland (Mixed forest &amp; grassland)</v>
      </c>
      <c r="H3084" s="156" t="str">
        <f>'Reported burning'!H3084</f>
        <v>Presence</v>
      </c>
      <c r="I3084" s="5"/>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c r="AB3084" s="204"/>
    </row>
    <row r="3085" spans="1:28" ht="39.5" customHeight="1">
      <c r="A3085" s="156" t="str">
        <f>'Reported burning'!A3085</f>
        <v>337a</v>
      </c>
      <c r="B3085" s="156" t="str">
        <f>'Reported burning'!B3085</f>
        <v>337a.2</v>
      </c>
      <c r="C3085" s="156" t="str">
        <f>'Reported burning'!C3085</f>
        <v>Human, deliberate</v>
      </c>
      <c r="D3085" s="156" t="str">
        <f>'Reported burning'!D3085</f>
        <v>Harvesting of NTFP</v>
      </c>
      <c r="E3085" s="156" t="str">
        <f>'Reported burning'!E3085</f>
        <v>Forestry, Traditional</v>
      </c>
      <c r="F3085" s="156" t="str">
        <f>'Reported burning'!F3085</f>
        <v>Shrubland (Mixed forest &amp; grassland)</v>
      </c>
      <c r="G3085" s="156" t="str">
        <f>'Reported burning'!G3085</f>
        <v>Shrubland (Mixed forest &amp; grassland)</v>
      </c>
      <c r="H3085" s="156" t="str">
        <f>'Reported burning'!H3085</f>
        <v>Presence</v>
      </c>
      <c r="I3085" s="5"/>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c r="AB3085" s="204"/>
    </row>
    <row r="3086" spans="1:28" ht="31" customHeight="1">
      <c r="A3086" s="156" t="str">
        <f>'Reported burning'!A3086</f>
        <v>337a</v>
      </c>
      <c r="B3086" s="156" t="str">
        <f>'Reported burning'!B3086</f>
        <v>337a.3</v>
      </c>
      <c r="C3086" s="156" t="str">
        <f>'Reported burning'!C3086</f>
        <v>Human, deliberate</v>
      </c>
      <c r="D3086" s="156" t="str">
        <f>'Reported burning'!D3086</f>
        <v>Hunting</v>
      </c>
      <c r="E3086" s="156" t="str">
        <f>'Reported burning'!E3086</f>
        <v>Forestry, Traditional</v>
      </c>
      <c r="F3086" s="156" t="str">
        <f>'Reported burning'!F3086</f>
        <v>Shrubland (Mixed forest &amp; grassland)</v>
      </c>
      <c r="G3086" s="156" t="str">
        <f>'Reported burning'!G3086</f>
        <v>Shrubland (Mixed forest &amp; grassland)</v>
      </c>
      <c r="H3086" s="156" t="str">
        <f>'Reported burning'!H3086</f>
        <v>Presence</v>
      </c>
      <c r="I3086" s="5"/>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c r="AB3086" s="204"/>
    </row>
    <row r="3087" spans="1:28" ht="31" customHeight="1">
      <c r="A3087" s="156" t="str">
        <f>'Reported burning'!A3087</f>
        <v>337a</v>
      </c>
      <c r="B3087" s="156" t="str">
        <f>'Reported burning'!B3087</f>
        <v>337a.4</v>
      </c>
      <c r="C3087" s="156" t="str">
        <f>'Reported burning'!C3087</f>
        <v>Human, deliberate</v>
      </c>
      <c r="D3087" s="156" t="str">
        <f>'Reported burning'!D3087</f>
        <v>Crop residue burning</v>
      </c>
      <c r="E3087" s="156" t="str">
        <f>'Reported burning'!E3087</f>
        <v>Forestry, Industrial</v>
      </c>
      <c r="F3087" s="156" t="str">
        <f>'Reported burning'!F3087</f>
        <v>Forest</v>
      </c>
      <c r="G3087" s="156" t="str">
        <f>'Reported burning'!G3087</f>
        <v>ND</v>
      </c>
      <c r="H3087" s="156" t="str">
        <f>'Reported burning'!H3087</f>
        <v>Presence</v>
      </c>
      <c r="I3087" s="5"/>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8312</v>
      </c>
      <c r="AB3087" s="204"/>
    </row>
    <row r="3088" spans="1:28" ht="31" customHeight="1">
      <c r="A3088" s="156" t="str">
        <f>'Reported burning'!A3088</f>
        <v>337a</v>
      </c>
      <c r="B3088" s="156" t="str">
        <f>'Reported burning'!B3088</f>
        <v>337a.5</v>
      </c>
      <c r="C3088" s="156" t="str">
        <f>'Reported burning'!C3088</f>
        <v>Human, deliberate</v>
      </c>
      <c r="D3088" s="156" t="str">
        <f>'Reported burning'!D3088</f>
        <v>Forest management</v>
      </c>
      <c r="E3088" s="156" t="str">
        <f>'Reported burning'!E3088</f>
        <v>Forestry, Industrial</v>
      </c>
      <c r="F3088" s="156" t="str">
        <f>'Reported burning'!F3088</f>
        <v>Forest</v>
      </c>
      <c r="G3088" s="156" t="str">
        <f>'Reported burning'!G3088</f>
        <v>ND</v>
      </c>
      <c r="H3088" s="156" t="str">
        <f>'Reported burning'!H3088</f>
        <v>Presence</v>
      </c>
      <c r="I3088" s="5"/>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c r="AB3088" s="204"/>
    </row>
    <row r="3089" spans="1:28" ht="31" customHeight="1">
      <c r="A3089" s="156" t="str">
        <f>'Reported burning'!A3089</f>
        <v>337a</v>
      </c>
      <c r="B3089" s="156" t="str">
        <f>'Reported burning'!B3089</f>
        <v>337a.6</v>
      </c>
      <c r="C3089" s="156" t="str">
        <f>'Reported burning'!C3089</f>
        <v>Human, deliberate</v>
      </c>
      <c r="D3089" s="156" t="str">
        <f>'Reported burning'!D3089</f>
        <v>Pyrome management</v>
      </c>
      <c r="E3089" s="156" t="str">
        <f>'Reported burning'!E3089</f>
        <v>Forestry, Traditional</v>
      </c>
      <c r="F3089" s="156" t="str">
        <f>'Reported burning'!F3089</f>
        <v>Shrubland (Mixed forest &amp; grassland)</v>
      </c>
      <c r="G3089" s="156" t="str">
        <f>'Reported burning'!G3089</f>
        <v>Shrubland (Mixed forest &amp; grassland)</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c r="AB3089" s="204"/>
    </row>
    <row r="3090" spans="1:28" ht="31" customHeight="1">
      <c r="A3090" s="156" t="str">
        <f>'Reported burning'!A3090</f>
        <v>337a</v>
      </c>
      <c r="B3090" s="156" t="str">
        <f>'Reported burning'!B3090</f>
        <v>337a.7</v>
      </c>
      <c r="C3090" s="156" t="str">
        <f>'Reported burning'!C3090</f>
        <v>Human, deliberate</v>
      </c>
      <c r="D3090" s="156" t="str">
        <f>'Reported burning'!D3090</f>
        <v>Pest management</v>
      </c>
      <c r="E3090" s="156" t="str">
        <f>'Reported burning'!E3090</f>
        <v>Forestry, Traditional</v>
      </c>
      <c r="F3090" s="156" t="str">
        <f>'Reported burning'!F3090</f>
        <v>Shrubland (Mixed forest &amp; grassland)</v>
      </c>
      <c r="G3090" s="156" t="str">
        <f>'Reported burning'!G3090</f>
        <v>Shrubland (Mixed forest &amp; grassland)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31" customHeight="1">
      <c r="A3091" s="156" t="str">
        <f>'Reported burning'!A3091</f>
        <v>338a</v>
      </c>
      <c r="B3091" s="156" t="str">
        <f>'Reported burning'!B3091</f>
        <v>338a.1</v>
      </c>
      <c r="C3091" s="156" t="str">
        <f>'Reported burning'!C3091</f>
        <v>Human, deliberate</v>
      </c>
      <c r="D3091" s="156" t="str">
        <f>'Reported burning'!D3091</f>
        <v>Crop residue burning</v>
      </c>
      <c r="E3091" s="156" t="str">
        <f>'Reported burning'!E3091</f>
        <v>Mixed cropping-livestock small holder, Subsistence-oriented</v>
      </c>
      <c r="F3091" s="156" t="str">
        <f>'Reported burning'!F3091</f>
        <v>Cropland</v>
      </c>
      <c r="G3091" s="156" t="str">
        <f>'Reported burning'!G3091</f>
        <v>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189</v>
      </c>
      <c r="Y3091" s="204" t="s">
        <v>86</v>
      </c>
      <c r="Z3091" s="204" t="s">
        <v>64</v>
      </c>
      <c r="AA3091" s="204"/>
      <c r="AB3091" s="204"/>
    </row>
    <row r="3092" spans="1:28" ht="31" customHeight="1">
      <c r="A3092" s="156" t="str">
        <f>'Reported burning'!A3092</f>
        <v>338a</v>
      </c>
      <c r="B3092" s="156" t="str">
        <f>'Reported burning'!B3092</f>
        <v>338a.2</v>
      </c>
      <c r="C3092" s="156" t="str">
        <f>'Reported burning'!C3092</f>
        <v>Human, deliberate</v>
      </c>
      <c r="D3092" s="156" t="str">
        <f>'Reported burning'!D3092</f>
        <v>Crop field preparation</v>
      </c>
      <c r="E3092" s="156" t="str">
        <f>'Reported burning'!E3092</f>
        <v>Mixed cropping-livestock small holder, Subsistence-oriented</v>
      </c>
      <c r="F3092" s="156" t="str">
        <f>'Reported burning'!F3092</f>
        <v>Cropland</v>
      </c>
      <c r="G3092" s="156" t="str">
        <f>'Reported burning'!G3092</f>
        <v>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404</v>
      </c>
      <c r="Y3092" s="204" t="s">
        <v>425</v>
      </c>
      <c r="Z3092" s="204" t="s">
        <v>64</v>
      </c>
      <c r="AA3092" s="204"/>
      <c r="AB3092" s="204"/>
    </row>
    <row r="3093" spans="1:28" ht="31" customHeight="1">
      <c r="A3093" s="156" t="str">
        <f>'Reported burning'!A3093</f>
        <v>338a</v>
      </c>
      <c r="B3093" s="156" t="str">
        <f>'Reported burning'!B3093</f>
        <v>338a.3</v>
      </c>
      <c r="C3093" s="156" t="str">
        <f>'Reported burning'!C3093</f>
        <v>Human, deliberate</v>
      </c>
      <c r="D3093" s="156" t="str">
        <f>'Reported burning'!D3093</f>
        <v>Land clearance</v>
      </c>
      <c r="E3093" s="156" t="str">
        <f>'Reported burning'!E3093</f>
        <v>Mixed cropping-livestock small holder, Subsistence-oriented</v>
      </c>
      <c r="F3093" s="156" t="str">
        <f>'Reported burning'!F3093</f>
        <v>Shrubland (Mixed forest &amp; grassland)</v>
      </c>
      <c r="G3093" s="156" t="str">
        <f>'Reported burning'!G3093</f>
        <v>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404</v>
      </c>
      <c r="Y3093" s="204" t="s">
        <v>425</v>
      </c>
      <c r="Z3093" s="204" t="s">
        <v>64</v>
      </c>
      <c r="AA3093" s="204"/>
      <c r="AB3093" s="204"/>
    </row>
    <row r="3094" spans="1:28" ht="31" customHeight="1">
      <c r="A3094" s="156" t="str">
        <f>'Reported burning'!A3094</f>
        <v>338a</v>
      </c>
      <c r="B3094" s="156" t="str">
        <f>'Reported burning'!B3094</f>
        <v>338a.4</v>
      </c>
      <c r="C3094" s="156" t="str">
        <f>'Reported burning'!C3094</f>
        <v>Human, deliberate</v>
      </c>
      <c r="D3094" s="156" t="str">
        <f>'Reported burning'!D3094</f>
        <v>Pasture renewal</v>
      </c>
      <c r="E3094" s="156" t="str">
        <f>'Reported burning'!E3094</f>
        <v>Mixed cropping-livestock small holder, Subsistence-oriented</v>
      </c>
      <c r="F3094" s="156" t="str">
        <f>'Reported burning'!F3094</f>
        <v>Shrubland (Mixed forest &amp; grassland)</v>
      </c>
      <c r="G3094" s="156" t="str">
        <f>'Reported burning'!G3094</f>
        <v>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404</v>
      </c>
      <c r="Y3094" s="204" t="s">
        <v>68</v>
      </c>
      <c r="Z3094" s="204" t="s">
        <v>64</v>
      </c>
      <c r="AA3094" s="204"/>
      <c r="AB3094" s="204"/>
    </row>
    <row r="3095" spans="1:28" ht="31" customHeight="1">
      <c r="A3095" s="156" t="str">
        <f>'Reported burning'!A3095</f>
        <v>338a</v>
      </c>
      <c r="B3095" s="156" t="str">
        <f>'Reported burning'!B3095</f>
        <v>338a.5</v>
      </c>
      <c r="C3095" s="156" t="str">
        <f>'Reported burning'!C3095</f>
        <v>Human, deliberate</v>
      </c>
      <c r="D3095" s="156" t="str">
        <f>'Reported burning'!D3095</f>
        <v>Hunting</v>
      </c>
      <c r="E3095" s="156" t="str">
        <f>'Reported burning'!E3095</f>
        <v>Mixed cropping-livestock small holder, Subsistence-oriented</v>
      </c>
      <c r="F3095" s="156" t="str">
        <f>'Reported burning'!F3095</f>
        <v>Shrubland (Mixed forest &amp; grassland)</v>
      </c>
      <c r="G3095" s="156" t="str">
        <f>'Reported burning'!G3095</f>
        <v>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425</v>
      </c>
      <c r="Y3095" s="204" t="s">
        <v>425</v>
      </c>
      <c r="Z3095" s="204" t="s">
        <v>64</v>
      </c>
      <c r="AA3095" s="204"/>
      <c r="AB3095" s="204"/>
    </row>
    <row r="3096" spans="1:28" ht="31" customHeight="1">
      <c r="A3096" s="156" t="str">
        <f>'Reported burning'!A3096</f>
        <v>338b</v>
      </c>
      <c r="B3096" s="156" t="str">
        <f>'Reported burning'!B3096</f>
        <v>338b.1</v>
      </c>
      <c r="C3096" s="156" t="str">
        <f>'Reported burning'!C3096</f>
        <v>Human, deliberate</v>
      </c>
      <c r="D3096" s="156" t="str">
        <f>'Reported burning'!D3096</f>
        <v>Crop residue burning</v>
      </c>
      <c r="E3096" s="156" t="str">
        <f>'Reported burning'!E3096</f>
        <v>Mixed cropping-livestock small holder, Subsistence-oriented</v>
      </c>
      <c r="F3096" s="156" t="str">
        <f>'Reported burning'!F3096</f>
        <v>Cropland</v>
      </c>
      <c r="G3096" s="156" t="str">
        <f>'Reported burning'!G3096</f>
        <v>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189</v>
      </c>
      <c r="Y3096" s="204" t="s">
        <v>86</v>
      </c>
      <c r="Z3096" s="204" t="s">
        <v>64</v>
      </c>
      <c r="AA3096" s="204"/>
      <c r="AB3096" s="204"/>
    </row>
    <row r="3097" spans="1:28" ht="31" customHeight="1">
      <c r="A3097" s="156" t="str">
        <f>'Reported burning'!A3097</f>
        <v>338b</v>
      </c>
      <c r="B3097" s="156" t="str">
        <f>'Reported burning'!B3097</f>
        <v>338b.2</v>
      </c>
      <c r="C3097" s="156" t="str">
        <f>'Reported burning'!C3097</f>
        <v>Human, deliberate</v>
      </c>
      <c r="D3097" s="156" t="str">
        <f>'Reported burning'!D3097</f>
        <v>Crop field preparation</v>
      </c>
      <c r="E3097" s="156" t="str">
        <f>'Reported burning'!E3097</f>
        <v>Mixed cropping-livestock small holder, Subsistence-oriented</v>
      </c>
      <c r="F3097" s="156" t="str">
        <f>'Reported burning'!F3097</f>
        <v>Cropland</v>
      </c>
      <c r="G3097" s="156" t="str">
        <f>'Reported burning'!G3097</f>
        <v>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34</v>
      </c>
      <c r="Y3097" s="204" t="s">
        <v>404</v>
      </c>
      <c r="Z3097" s="204" t="s">
        <v>64</v>
      </c>
      <c r="AA3097" s="204"/>
      <c r="AB3097" s="204"/>
    </row>
    <row r="3098" spans="1:28" ht="31" customHeight="1">
      <c r="A3098" s="156" t="str">
        <f>'Reported burning'!A3098</f>
        <v>338b</v>
      </c>
      <c r="B3098" s="156" t="str">
        <f>'Reported burning'!B3098</f>
        <v>338b.3</v>
      </c>
      <c r="C3098" s="156" t="str">
        <f>'Reported burning'!C3098</f>
        <v>Human, deliberate</v>
      </c>
      <c r="D3098" s="156" t="str">
        <f>'Reported burning'!D3098</f>
        <v>Land clearance</v>
      </c>
      <c r="E3098" s="156" t="str">
        <f>'Reported burning'!E3098</f>
        <v>Mixed cropping-livestock small holder, Subsistence-oriented</v>
      </c>
      <c r="F3098" s="156" t="str">
        <f>'Reported burning'!F3098</f>
        <v>Shrubland (Mixed forest &amp; grassland)</v>
      </c>
      <c r="G3098" s="156" t="str">
        <f>'Reported burning'!G3098</f>
        <v>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34</v>
      </c>
      <c r="Y3098" s="204" t="s">
        <v>404</v>
      </c>
      <c r="Z3098" s="204" t="s">
        <v>64</v>
      </c>
      <c r="AA3098" s="204"/>
      <c r="AB3098" s="204"/>
    </row>
    <row r="3099" spans="1:28" ht="31" customHeight="1">
      <c r="A3099" s="156" t="str">
        <f>'Reported burning'!A3099</f>
        <v>338b</v>
      </c>
      <c r="B3099" s="156" t="str">
        <f>'Reported burning'!B3099</f>
        <v>338b.4</v>
      </c>
      <c r="C3099" s="156" t="str">
        <f>'Reported burning'!C3099</f>
        <v>Human, deliberate</v>
      </c>
      <c r="D3099" s="156" t="str">
        <f>'Reported burning'!D3099</f>
        <v>Pasture renewal</v>
      </c>
      <c r="E3099" s="156" t="str">
        <f>'Reported burning'!E3099</f>
        <v>Mixed cropping-livestock small holder, Subsistence-oriented</v>
      </c>
      <c r="F3099" s="156" t="str">
        <f>'Reported burning'!F3099</f>
        <v>Shrubland (Mixed forest &amp; grassland)</v>
      </c>
      <c r="G3099" s="156" t="str">
        <f>'Reported burning'!G3099</f>
        <v>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34</v>
      </c>
      <c r="Y3099" s="204" t="s">
        <v>68</v>
      </c>
      <c r="Z3099" s="204" t="s">
        <v>64</v>
      </c>
      <c r="AA3099" s="204"/>
      <c r="AB3099" s="204"/>
    </row>
    <row r="3100" spans="1:28" ht="31" customHeight="1">
      <c r="A3100" s="156" t="str">
        <f>'Reported burning'!A3100</f>
        <v>338b</v>
      </c>
      <c r="B3100" s="156" t="str">
        <f>'Reported burning'!B3100</f>
        <v>338b.5</v>
      </c>
      <c r="C3100" s="156" t="str">
        <f>'Reported burning'!C3100</f>
        <v>Human, deliberate</v>
      </c>
      <c r="D3100" s="156" t="str">
        <f>'Reported burning'!D3100</f>
        <v>Hunting</v>
      </c>
      <c r="E3100" s="156" t="str">
        <f>'Reported burning'!E3100</f>
        <v>Mixed cropping-livestock small holder, Subsistence-oriented</v>
      </c>
      <c r="F3100" s="156" t="str">
        <f>'Reported burning'!F3100</f>
        <v>Shrubland (Mixed forest &amp; grassland)</v>
      </c>
      <c r="G3100" s="156" t="str">
        <f>'Reported burning'!G3100</f>
        <v>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425</v>
      </c>
      <c r="Y3100" s="204" t="s">
        <v>425</v>
      </c>
      <c r="Z3100" s="204" t="s">
        <v>64</v>
      </c>
      <c r="AA3100" s="204"/>
      <c r="AB3100" s="204"/>
    </row>
    <row r="3101" spans="1:28" ht="31" customHeight="1">
      <c r="A3101" s="156" t="str">
        <f>'Reported burning'!A3101</f>
        <v>338b</v>
      </c>
      <c r="B3101" s="156" t="str">
        <f>'Reported burning'!B3101</f>
        <v>338b.6</v>
      </c>
      <c r="C3101" s="156" t="str">
        <f>'Reported burning'!C3101</f>
        <v>Human, deliberate</v>
      </c>
      <c r="D3101" s="156" t="str">
        <f>'Reported burning'!D3101</f>
        <v>Land clearance</v>
      </c>
      <c r="E3101" s="156" t="str">
        <f>'Reported burning'!E3101</f>
        <v>Mixed cropping-livestock small holder, Subsistence-oriented</v>
      </c>
      <c r="F3101" s="156" t="str">
        <f>'Reported burning'!F3101</f>
        <v>Shrubland (Mixed forest &amp; grassland)</v>
      </c>
      <c r="G3101" s="156" t="str">
        <f>'Reported burning'!G3101</f>
        <v>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399</v>
      </c>
      <c r="Y3101" s="204" t="s">
        <v>188</v>
      </c>
      <c r="Z3101" s="204" t="s">
        <v>64</v>
      </c>
      <c r="AA3101" s="204"/>
      <c r="AB3101" s="204"/>
    </row>
    <row r="3102" spans="1:28" ht="31" customHeight="1">
      <c r="A3102" s="156" t="str">
        <f>'Reported burning'!A3102</f>
        <v>338c</v>
      </c>
      <c r="B3102" s="156" t="str">
        <f>'Reported burning'!B3102</f>
        <v>338c.1</v>
      </c>
      <c r="C3102" s="156" t="str">
        <f>'Reported burning'!C3102</f>
        <v>Human, deliberate</v>
      </c>
      <c r="D3102" s="156" t="str">
        <f>'Reported burning'!D3102</f>
        <v>Crop residue burning</v>
      </c>
      <c r="E3102" s="156" t="str">
        <f>'Reported burning'!E3102</f>
        <v>Mixed cropping-livestock small holder, Subsistence-oriented</v>
      </c>
      <c r="F3102" s="156" t="str">
        <f>'Reported burning'!F3102</f>
        <v>Cropland</v>
      </c>
      <c r="G3102" s="156" t="str">
        <f>'Reported burning'!G3102</f>
        <v>ND</v>
      </c>
      <c r="H3102" s="156" t="str">
        <f>'Reported burning'!H3102</f>
        <v>Absence</v>
      </c>
      <c r="I3102" s="5"/>
      <c r="J3102" s="21">
        <v>0</v>
      </c>
      <c r="K3102" s="21">
        <v>0</v>
      </c>
      <c r="L3102" s="21">
        <v>0</v>
      </c>
      <c r="M3102" s="21">
        <v>0</v>
      </c>
      <c r="N3102" s="21">
        <v>0</v>
      </c>
      <c r="O3102" s="21">
        <v>0</v>
      </c>
      <c r="P3102" s="21">
        <v>0</v>
      </c>
      <c r="Q3102" s="21">
        <v>0</v>
      </c>
      <c r="R3102" s="21">
        <v>0</v>
      </c>
      <c r="S3102" s="21">
        <v>0</v>
      </c>
      <c r="T3102" s="21">
        <v>0</v>
      </c>
      <c r="U3102" s="21">
        <v>0</v>
      </c>
      <c r="V3102" s="21">
        <v>0</v>
      </c>
      <c r="W3102" s="204" t="s">
        <v>2276</v>
      </c>
      <c r="X3102" s="204" t="s">
        <v>2276</v>
      </c>
      <c r="Y3102" s="204" t="s">
        <v>2276</v>
      </c>
      <c r="Z3102" s="204" t="s">
        <v>2276</v>
      </c>
      <c r="AA3102" s="204"/>
      <c r="AB3102" s="204"/>
    </row>
    <row r="3103" spans="1:28" ht="31" customHeight="1">
      <c r="A3103" s="156" t="str">
        <f>'Reported burning'!A3103</f>
        <v>338c</v>
      </c>
      <c r="B3103" s="156" t="str">
        <f>'Reported burning'!B3103</f>
        <v>338c.2</v>
      </c>
      <c r="C3103" s="156" t="str">
        <f>'Reported burning'!C3103</f>
        <v>Human, deliberate</v>
      </c>
      <c r="D3103" s="156" t="str">
        <f>'Reported burning'!D3103</f>
        <v>Crop field preparation</v>
      </c>
      <c r="E3103" s="156" t="str">
        <f>'Reported burning'!E3103</f>
        <v>Mixed cropping-livestock small holder, Subsistence-oriented</v>
      </c>
      <c r="F3103" s="156" t="str">
        <f>'Reported burning'!F3103</f>
        <v>Cropland</v>
      </c>
      <c r="G3103" s="156" t="str">
        <f>'Reported burning'!G3103</f>
        <v>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189</v>
      </c>
      <c r="Y3103" s="204" t="s">
        <v>38</v>
      </c>
      <c r="Z3103" s="204" t="s">
        <v>64</v>
      </c>
      <c r="AA3103" s="204"/>
      <c r="AB3103" s="204"/>
    </row>
    <row r="3104" spans="1:28" ht="45.5" customHeight="1">
      <c r="A3104" s="156" t="str">
        <f>'Reported burning'!A3104</f>
        <v>338c</v>
      </c>
      <c r="B3104" s="156" t="str">
        <f>'Reported burning'!B3104</f>
        <v>338c.3</v>
      </c>
      <c r="C3104" s="156" t="str">
        <f>'Reported burning'!C3104</f>
        <v>Human, deliberate</v>
      </c>
      <c r="D3104" s="156" t="str">
        <f>'Reported burning'!D3104</f>
        <v>Crop field preparation</v>
      </c>
      <c r="E3104" s="156" t="str">
        <f>'Reported burning'!E3104</f>
        <v>Mixed cropping-livestock small holder, Subsistence-oriented</v>
      </c>
      <c r="F3104" s="156" t="str">
        <f>'Reported burning'!F3104</f>
        <v>Cropland</v>
      </c>
      <c r="G3104" s="156" t="str">
        <f>'Reported burning'!G3104</f>
        <v>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68</v>
      </c>
      <c r="Y3104" s="204" t="s">
        <v>35</v>
      </c>
      <c r="Z3104" s="204" t="s">
        <v>64</v>
      </c>
      <c r="AA3104" s="204"/>
      <c r="AB3104" s="204"/>
    </row>
    <row r="3105" spans="1:28" ht="45.5" customHeight="1">
      <c r="A3105" s="156" t="str">
        <f>'Reported burning'!A3105</f>
        <v>338c</v>
      </c>
      <c r="B3105" s="156" t="str">
        <f>'Reported burning'!B3105</f>
        <v>338c.4</v>
      </c>
      <c r="C3105" s="156" t="str">
        <f>'Reported burning'!C3105</f>
        <v>Human, deliberate</v>
      </c>
      <c r="D3105" s="156" t="str">
        <f>'Reported burning'!D3105</f>
        <v>Land clearance</v>
      </c>
      <c r="E3105" s="156" t="str">
        <f>'Reported burning'!E3105</f>
        <v>Mixed cropping-livestock small holder, Subsistence-oriented</v>
      </c>
      <c r="F3105" s="156" t="str">
        <f>'Reported burning'!F3105</f>
        <v>Shrubland (Mixed forest &amp; grassland)</v>
      </c>
      <c r="G3105" s="156" t="str">
        <f>'Reported burning'!G3105</f>
        <v>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68</v>
      </c>
      <c r="Y3105" s="204" t="s">
        <v>35</v>
      </c>
      <c r="Z3105" s="204" t="s">
        <v>64</v>
      </c>
      <c r="AA3105" s="204"/>
      <c r="AB3105" s="204"/>
    </row>
    <row r="3106" spans="1:28" ht="45.5" customHeight="1">
      <c r="A3106" s="156" t="str">
        <f>'Reported burning'!A3106</f>
        <v>338c</v>
      </c>
      <c r="B3106" s="156" t="str">
        <f>'Reported burning'!B3106</f>
        <v>338c.5</v>
      </c>
      <c r="C3106" s="156" t="str">
        <f>'Reported burning'!C3106</f>
        <v>Human, deliberate</v>
      </c>
      <c r="D3106" s="156" t="str">
        <f>'Reported burning'!D3106</f>
        <v>Pasture renewal</v>
      </c>
      <c r="E3106" s="156" t="str">
        <f>'Reported burning'!E3106</f>
        <v>Mixed cropping-livestock small holder, Subsistence-oriented</v>
      </c>
      <c r="F3106" s="156" t="str">
        <f>'Reported burning'!F3106</f>
        <v>Shrubland (Mixed forest &amp; grassland)</v>
      </c>
      <c r="G3106" s="156" t="str">
        <f>'Reported burning'!G3106</f>
        <v>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405</v>
      </c>
      <c r="Y3106" s="204" t="s">
        <v>35</v>
      </c>
      <c r="Z3106" s="204" t="s">
        <v>64</v>
      </c>
      <c r="AA3106" s="204"/>
      <c r="AB3106" s="204"/>
    </row>
    <row r="3107" spans="1:28" ht="45.5" customHeight="1">
      <c r="A3107" s="156" t="str">
        <f>'Reported burning'!A3107</f>
        <v>338c</v>
      </c>
      <c r="B3107" s="156" t="str">
        <f>'Reported burning'!B3107</f>
        <v>338c.6</v>
      </c>
      <c r="C3107" s="156" t="str">
        <f>'Reported burning'!C3107</f>
        <v>Human, deliberate</v>
      </c>
      <c r="D3107" s="156" t="str">
        <f>'Reported burning'!D3107</f>
        <v>Hunting</v>
      </c>
      <c r="E3107" s="156" t="str">
        <f>'Reported burning'!E3107</f>
        <v>Mixed cropping-livestock small holder, Subsistence-oriented</v>
      </c>
      <c r="F3107" s="156" t="str">
        <f>'Reported burning'!F3107</f>
        <v>Shrubland (Mixed forest &amp; grassland)</v>
      </c>
      <c r="G3107" s="156" t="str">
        <f>'Reported burning'!G3107</f>
        <v>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86</v>
      </c>
      <c r="Y3107" s="204" t="s">
        <v>35</v>
      </c>
      <c r="Z3107" s="204" t="s">
        <v>64</v>
      </c>
      <c r="AA3107" s="204"/>
      <c r="AB3107" s="204"/>
    </row>
    <row r="3108" spans="1:28" ht="45.5" customHeight="1">
      <c r="A3108" s="156" t="str">
        <f>'Reported burning'!A3108</f>
        <v>338c</v>
      </c>
      <c r="B3108" s="156" t="str">
        <f>'Reported burning'!B3108</f>
        <v>338c.7</v>
      </c>
      <c r="C3108" s="156" t="str">
        <f>'Reported burning'!C3108</f>
        <v>Human, deliberate</v>
      </c>
      <c r="D3108" s="156" t="str">
        <f>'Reported burning'!D3108</f>
        <v>Harvesting of NTFP</v>
      </c>
      <c r="E3108" s="156" t="str">
        <f>'Reported burning'!E3108</f>
        <v>Mixed cropping-livestock small holder, Subsistence-oriented</v>
      </c>
      <c r="F3108" s="156" t="str">
        <f>'Reported burning'!F3108</f>
        <v>Forest</v>
      </c>
      <c r="G3108" s="156" t="str">
        <f>'Reported burning'!G3108</f>
        <v>ND</v>
      </c>
      <c r="H3108" s="156" t="str">
        <f>'Reported burning'!H3108</f>
        <v>Presence</v>
      </c>
      <c r="I3108" s="5"/>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68</v>
      </c>
      <c r="Y3108" s="204" t="s">
        <v>127</v>
      </c>
      <c r="Z3108" s="204" t="s">
        <v>64</v>
      </c>
      <c r="AA3108" s="204"/>
      <c r="AB3108" s="204"/>
    </row>
    <row r="3109" spans="1:28" ht="45.5" customHeight="1">
      <c r="A3109" s="156" t="str">
        <f>'Reported burning'!A3109</f>
        <v>338c</v>
      </c>
      <c r="B3109" s="156" t="str">
        <f>'Reported burning'!B3109</f>
        <v>338c.8</v>
      </c>
      <c r="C3109" s="156" t="str">
        <f>'Reported burning'!C3109</f>
        <v>Human, deliberate</v>
      </c>
      <c r="D3109" s="156" t="str">
        <f>'Reported burning'!D3109</f>
        <v>Pest management</v>
      </c>
      <c r="E3109" s="156" t="str">
        <f>'Reported burning'!E3109</f>
        <v>Mixed cropping-livestock small holder, Subsistence-oriented</v>
      </c>
      <c r="F3109" s="156" t="str">
        <f>'Reported burning'!F3109</f>
        <v>Shrubland (Mixed forest &amp; grassland)</v>
      </c>
      <c r="G3109" s="156" t="str">
        <f>'Reported burning'!G3109</f>
        <v>ND</v>
      </c>
      <c r="H3109" s="156" t="str">
        <f>'Reported burning'!H3109</f>
        <v>Presence</v>
      </c>
      <c r="I3109" s="5"/>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38</v>
      </c>
      <c r="Y3109" s="204" t="s">
        <v>127</v>
      </c>
      <c r="Z3109" s="204" t="s">
        <v>64</v>
      </c>
      <c r="AA3109" s="204"/>
      <c r="AB3109" s="204"/>
    </row>
    <row r="3110" spans="1:28" ht="45.5" customHeight="1">
      <c r="A3110" s="156" t="str">
        <f>'Reported burning'!A3110</f>
        <v>338d</v>
      </c>
      <c r="B3110" s="156" t="str">
        <f>'Reported burning'!B3110</f>
        <v>338d.1</v>
      </c>
      <c r="C3110" s="156" t="str">
        <f>'Reported burning'!C3110</f>
        <v>Human, deliberate</v>
      </c>
      <c r="D3110" s="156" t="str">
        <f>'Reported burning'!D3110</f>
        <v>Crop residue burning</v>
      </c>
      <c r="E3110" s="156" t="str">
        <f>'Reported burning'!E3110</f>
        <v>Mixed cropping-livestock small holder, Subsistence-oriented</v>
      </c>
      <c r="F3110" s="156" t="str">
        <f>'Reported burning'!F3110</f>
        <v>Cropland</v>
      </c>
      <c r="G3110" s="156" t="str">
        <f>'Reported burning'!G3110</f>
        <v>ND</v>
      </c>
      <c r="H3110" s="156" t="str">
        <f>'Reported burning'!H3110</f>
        <v>Absence</v>
      </c>
      <c r="I3110" s="5"/>
      <c r="J3110" s="21">
        <v>0</v>
      </c>
      <c r="K3110" s="21">
        <v>0</v>
      </c>
      <c r="L3110" s="21">
        <v>0</v>
      </c>
      <c r="M3110" s="21">
        <v>0</v>
      </c>
      <c r="N3110" s="21">
        <v>0</v>
      </c>
      <c r="O3110" s="21">
        <v>0</v>
      </c>
      <c r="P3110" s="21">
        <v>0</v>
      </c>
      <c r="Q3110" s="21">
        <v>0</v>
      </c>
      <c r="R3110" s="21">
        <v>0</v>
      </c>
      <c r="S3110" s="21">
        <v>0</v>
      </c>
      <c r="T3110" s="21">
        <v>0</v>
      </c>
      <c r="U3110" s="21">
        <v>0</v>
      </c>
      <c r="V3110" s="21">
        <v>0</v>
      </c>
      <c r="W3110" s="204" t="s">
        <v>2276</v>
      </c>
      <c r="X3110" s="204" t="s">
        <v>2276</v>
      </c>
      <c r="Y3110" s="204" t="s">
        <v>2276</v>
      </c>
      <c r="Z3110" s="204" t="s">
        <v>2276</v>
      </c>
      <c r="AA3110" s="204"/>
      <c r="AB3110" s="204"/>
    </row>
    <row r="3111" spans="1:28" ht="45.5" customHeight="1">
      <c r="A3111" s="156" t="str">
        <f>'Reported burning'!A3111</f>
        <v>338d</v>
      </c>
      <c r="B3111" s="156" t="str">
        <f>'Reported burning'!B3111</f>
        <v>338d.2</v>
      </c>
      <c r="C3111" s="156" t="str">
        <f>'Reported burning'!C3111</f>
        <v>Human, deliberate</v>
      </c>
      <c r="D3111" s="156" t="str">
        <f>'Reported burning'!D3111</f>
        <v>Crop field preparation</v>
      </c>
      <c r="E3111" s="156" t="str">
        <f>'Reported burning'!E3111</f>
        <v>Mixed cropping-livestock small holder, Subsistence-oriented</v>
      </c>
      <c r="F3111" s="156" t="str">
        <f>'Reported burning'!F3111</f>
        <v>Cropland</v>
      </c>
      <c r="G3111" s="156" t="str">
        <f>'Reported burning'!G3111</f>
        <v>ND</v>
      </c>
      <c r="H3111" s="156" t="str">
        <f>'Reported burning'!H3111</f>
        <v>Presence</v>
      </c>
      <c r="I3111" s="5"/>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68</v>
      </c>
      <c r="Y3111" s="204" t="s">
        <v>35</v>
      </c>
      <c r="Z3111" s="204" t="s">
        <v>64</v>
      </c>
      <c r="AA3111" s="204"/>
      <c r="AB3111" s="204"/>
    </row>
    <row r="3112" spans="1:28" ht="45.5" customHeight="1">
      <c r="A3112" s="156" t="str">
        <f>'Reported burning'!A3112</f>
        <v>338d</v>
      </c>
      <c r="B3112" s="156" t="str">
        <f>'Reported burning'!B3112</f>
        <v>338d.3</v>
      </c>
      <c r="C3112" s="156" t="str">
        <f>'Reported burning'!C3112</f>
        <v>Human, deliberate</v>
      </c>
      <c r="D3112" s="156" t="str">
        <f>'Reported burning'!D3112</f>
        <v>Land clearance</v>
      </c>
      <c r="E3112" s="156" t="str">
        <f>'Reported burning'!E3112</f>
        <v>Mixed cropping-livestock small holder, Subsistence-oriented</v>
      </c>
      <c r="F3112" s="156" t="str">
        <f>'Reported burning'!F3112</f>
        <v>Cropland</v>
      </c>
      <c r="G3112" s="156" t="str">
        <f>'Reported burning'!G3112</f>
        <v>ND</v>
      </c>
      <c r="H3112" s="156" t="str">
        <f>'Reported burning'!H3112</f>
        <v>Presence</v>
      </c>
      <c r="I3112" s="5"/>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68</v>
      </c>
      <c r="Y3112" s="204" t="s">
        <v>35</v>
      </c>
      <c r="Z3112" s="204" t="s">
        <v>64</v>
      </c>
      <c r="AA3112" s="204"/>
      <c r="AB3112" s="204"/>
    </row>
    <row r="3113" spans="1:28" ht="45.5" customHeight="1">
      <c r="A3113" s="156" t="str">
        <f>'Reported burning'!A3113</f>
        <v>338d</v>
      </c>
      <c r="B3113" s="156" t="str">
        <f>'Reported burning'!B3113</f>
        <v>338d.4</v>
      </c>
      <c r="C3113" s="156" t="str">
        <f>'Reported burning'!C3113</f>
        <v>Human, deliberate</v>
      </c>
      <c r="D3113" s="156" t="str">
        <f>'Reported burning'!D3113</f>
        <v>Pasture renewal</v>
      </c>
      <c r="E3113" s="156" t="str">
        <f>'Reported burning'!E3113</f>
        <v>Mixed cropping-livestock small holder, Subsistence-oriented</v>
      </c>
      <c r="F3113" s="156" t="str">
        <f>'Reported burning'!F3113</f>
        <v>Shrubland (Mixed forest &amp; grassland)</v>
      </c>
      <c r="G3113" s="156" t="str">
        <f>'Reported burning'!G3113</f>
        <v>ND</v>
      </c>
      <c r="H3113" s="156" t="str">
        <f>'Reported burning'!H3113</f>
        <v>Presence</v>
      </c>
      <c r="I3113" s="5"/>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405</v>
      </c>
      <c r="Y3113" s="204" t="s">
        <v>35</v>
      </c>
      <c r="Z3113" s="204" t="s">
        <v>64</v>
      </c>
      <c r="AA3113" s="204"/>
      <c r="AB3113" s="204"/>
    </row>
    <row r="3114" spans="1:28" ht="45.5" customHeight="1">
      <c r="A3114" s="156" t="str">
        <f>'Reported burning'!A3114</f>
        <v>338d</v>
      </c>
      <c r="B3114" s="156" t="str">
        <f>'Reported burning'!B3114</f>
        <v>338d.5</v>
      </c>
      <c r="C3114" s="156" t="str">
        <f>'Reported burning'!C3114</f>
        <v>Human, deliberate</v>
      </c>
      <c r="D3114" s="156" t="str">
        <f>'Reported burning'!D3114</f>
        <v>Hunting</v>
      </c>
      <c r="E3114" s="156" t="str">
        <f>'Reported burning'!E3114</f>
        <v>Mixed cropping-livestock small holder, Subsistence-oriented</v>
      </c>
      <c r="F3114" s="156" t="str">
        <f>'Reported burning'!F3114</f>
        <v>Shrubland (Mixed forest &amp; grassland)</v>
      </c>
      <c r="G3114" s="156" t="str">
        <f>'Reported burning'!G3114</f>
        <v>ND</v>
      </c>
      <c r="H3114" s="156" t="str">
        <f>'Reported burning'!H3114</f>
        <v>Presence</v>
      </c>
      <c r="I3114" s="5"/>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86</v>
      </c>
      <c r="Y3114" s="204" t="s">
        <v>35</v>
      </c>
      <c r="Z3114" s="204" t="s">
        <v>64</v>
      </c>
      <c r="AA3114" s="204"/>
      <c r="AB3114" s="204"/>
    </row>
    <row r="3115" spans="1:28" ht="45.5" customHeight="1">
      <c r="A3115" s="156" t="str">
        <f>'Reported burning'!A3115</f>
        <v>338d</v>
      </c>
      <c r="B3115" s="156" t="str">
        <f>'Reported burning'!B3115</f>
        <v>338d.6</v>
      </c>
      <c r="C3115" s="156" t="str">
        <f>'Reported burning'!C3115</f>
        <v>Human, deliberate</v>
      </c>
      <c r="D3115" s="156" t="str">
        <f>'Reported burning'!D3115</f>
        <v>Harvesting of NTFP</v>
      </c>
      <c r="E3115" s="156" t="str">
        <f>'Reported burning'!E3115</f>
        <v>Mixed cropping-livestock small holder, Subsistence-oriented</v>
      </c>
      <c r="F3115" s="156" t="str">
        <f>'Reported burning'!F3115</f>
        <v>Shrubland (Mixed forest &amp; grassland)</v>
      </c>
      <c r="G3115" s="156" t="str">
        <f>'Reported burning'!G3115</f>
        <v>ND</v>
      </c>
      <c r="H3115" s="156" t="str">
        <f>'Reported burning'!H3115</f>
        <v>Presence</v>
      </c>
      <c r="I3115" s="5"/>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68</v>
      </c>
      <c r="Y3115" s="204" t="s">
        <v>127</v>
      </c>
      <c r="Z3115" s="204" t="s">
        <v>64</v>
      </c>
      <c r="AA3115" s="204"/>
      <c r="AB3115" s="204"/>
    </row>
    <row r="3116" spans="1:28" ht="45.5" customHeight="1">
      <c r="A3116" s="156" t="str">
        <f>'Reported burning'!A3116</f>
        <v>338d</v>
      </c>
      <c r="B3116" s="156" t="str">
        <f>'Reported burning'!B3116</f>
        <v>338d.7</v>
      </c>
      <c r="C3116" s="156" t="str">
        <f>'Reported burning'!C3116</f>
        <v>Human, deliberate</v>
      </c>
      <c r="D3116" s="156" t="str">
        <f>'Reported burning'!D3116</f>
        <v>Pest management</v>
      </c>
      <c r="E3116" s="156" t="str">
        <f>'Reported burning'!E3116</f>
        <v>Mixed cropping-livestock small holder, Subsistence-oriented</v>
      </c>
      <c r="F3116" s="156" t="str">
        <f>'Reported burning'!F3116</f>
        <v>Forest</v>
      </c>
      <c r="G3116" s="156" t="str">
        <f>'Reported burning'!G3116</f>
        <v>ND</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38</v>
      </c>
      <c r="Y3116" s="204" t="s">
        <v>127</v>
      </c>
      <c r="Z3116" s="204" t="s">
        <v>64</v>
      </c>
      <c r="AA3116" s="204"/>
      <c r="AB3116" s="204"/>
    </row>
    <row r="3117" spans="1:28" ht="45.5" customHeight="1">
      <c r="A3117" s="156" t="str">
        <f>'Reported burning'!A3117</f>
        <v>338a</v>
      </c>
      <c r="B3117" s="156" t="str">
        <f>'Reported burning'!B3117</f>
        <v>338a.6</v>
      </c>
      <c r="C3117" s="156" t="str">
        <f>'Reported burning'!C3117</f>
        <v>Human, deliberate</v>
      </c>
      <c r="D3117" s="156" t="str">
        <f>'Reported burning'!D3117</f>
        <v>All</v>
      </c>
      <c r="E3117" s="156" t="str">
        <f>'Reported burning'!E3117</f>
        <v>Mixed cropping-livestock small holder, Subsistence-oriented</v>
      </c>
      <c r="F3117" s="156" t="str">
        <f>'Reported burning'!F3117</f>
        <v>Cropland</v>
      </c>
      <c r="G3117" s="156" t="str">
        <f>'Reported burning'!G3117</f>
        <v>Cropland</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2276</v>
      </c>
      <c r="AA3117" s="204"/>
      <c r="AB3117" s="204"/>
    </row>
    <row r="3118" spans="1:28" ht="48" customHeight="1">
      <c r="A3118" s="156" t="str">
        <f>'Reported burning'!A3118</f>
        <v>338b</v>
      </c>
      <c r="B3118" s="156" t="str">
        <f>'Reported burning'!B3118</f>
        <v>338b.7</v>
      </c>
      <c r="C3118" s="156" t="str">
        <f>'Reported burning'!C3118</f>
        <v>Human, deliberate</v>
      </c>
      <c r="D3118" s="156" t="str">
        <f>'Reported burning'!D3118</f>
        <v>All</v>
      </c>
      <c r="E3118" s="156" t="str">
        <f>'Reported burning'!E3118</f>
        <v>Mixed cropping-livestock small holder, Subsistence-oriented</v>
      </c>
      <c r="F3118" s="156" t="str">
        <f>'Reported burning'!F3118</f>
        <v>Cropland</v>
      </c>
      <c r="G3118" s="156" t="str">
        <f>'Reported burning'!G3118</f>
        <v>Cropland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c r="AB3118" s="204"/>
    </row>
    <row r="3119" spans="1:28" ht="48" customHeight="1">
      <c r="A3119" s="156" t="str">
        <f>'Reported burning'!A3119</f>
        <v>338c</v>
      </c>
      <c r="B3119" s="156" t="str">
        <f>'Reported burning'!B3119</f>
        <v>338c.9</v>
      </c>
      <c r="C3119" s="156" t="str">
        <f>'Reported burning'!C3119</f>
        <v>Human, deliberate</v>
      </c>
      <c r="D3119" s="156" t="str">
        <f>'Reported burning'!D3119</f>
        <v>All</v>
      </c>
      <c r="E3119" s="156" t="str">
        <f>'Reported burning'!E3119</f>
        <v>Mixed cropping-livestock small holder, Subsistence-oriented</v>
      </c>
      <c r="F3119" s="156" t="str">
        <f>'Reported burning'!F3119</f>
        <v>Cropland</v>
      </c>
      <c r="G3119" s="156" t="str">
        <f>'Reported burning'!G3119</f>
        <v>Cropland</v>
      </c>
      <c r="H3119" s="156" t="str">
        <f>'Reported burning'!H3119</f>
        <v>Presence</v>
      </c>
      <c r="I3119" s="5"/>
      <c r="J3119" s="204" t="s">
        <v>2276</v>
      </c>
      <c r="K3119" s="103" t="s">
        <v>2362</v>
      </c>
      <c r="L3119" s="204" t="s">
        <v>2276</v>
      </c>
      <c r="M3119" s="204" t="s">
        <v>2276</v>
      </c>
      <c r="N3119" s="204" t="s">
        <v>2276</v>
      </c>
      <c r="O3119" s="21" t="s">
        <v>2373</v>
      </c>
      <c r="P3119" s="204" t="s">
        <v>2276</v>
      </c>
      <c r="Q3119" s="21" t="s">
        <v>2375</v>
      </c>
      <c r="R3119" s="204" t="s">
        <v>2276</v>
      </c>
      <c r="S3119" s="204" t="s">
        <v>2276</v>
      </c>
      <c r="T3119" s="204" t="s">
        <v>2276</v>
      </c>
      <c r="U3119" s="204" t="s">
        <v>2276</v>
      </c>
      <c r="V3119" s="204" t="s">
        <v>2276</v>
      </c>
      <c r="W3119" s="204" t="s">
        <v>2276</v>
      </c>
      <c r="X3119" s="204" t="s">
        <v>2276</v>
      </c>
      <c r="Y3119" s="204" t="s">
        <v>2276</v>
      </c>
      <c r="Z3119" s="204" t="s">
        <v>2276</v>
      </c>
      <c r="AA3119" s="204"/>
      <c r="AB3119" s="4" t="s">
        <v>8374</v>
      </c>
    </row>
    <row r="3120" spans="1:28" ht="48" customHeight="1">
      <c r="A3120" s="156" t="str">
        <f>'Reported burning'!A3120</f>
        <v>338d</v>
      </c>
      <c r="B3120" s="156" t="str">
        <f>'Reported burning'!B3120</f>
        <v>338d.8</v>
      </c>
      <c r="C3120" s="156" t="str">
        <f>'Reported burning'!C3120</f>
        <v>Human, deliberate</v>
      </c>
      <c r="D3120" s="156" t="str">
        <f>'Reported burning'!D3120</f>
        <v>All</v>
      </c>
      <c r="E3120" s="156" t="str">
        <f>'Reported burning'!E3120</f>
        <v>Mixed cropping-livestock small holder, Subsistence-oriented</v>
      </c>
      <c r="F3120" s="156" t="str">
        <f>'Reported burning'!F3120</f>
        <v>Cropland</v>
      </c>
      <c r="G3120" s="156" t="str">
        <f>'Reported burning'!G3120</f>
        <v>Cropland</v>
      </c>
      <c r="H3120" s="156" t="str">
        <f>'Reported burning'!H3120</f>
        <v>Presence</v>
      </c>
      <c r="I3120" s="5"/>
      <c r="J3120" s="204" t="s">
        <v>2276</v>
      </c>
      <c r="K3120" s="103" t="s">
        <v>2362</v>
      </c>
      <c r="L3120" s="204" t="s">
        <v>2276</v>
      </c>
      <c r="M3120" s="204" t="s">
        <v>2276</v>
      </c>
      <c r="N3120" s="204" t="s">
        <v>2276</v>
      </c>
      <c r="O3120" s="21" t="s">
        <v>2373</v>
      </c>
      <c r="P3120" s="204" t="s">
        <v>2276</v>
      </c>
      <c r="Q3120" s="21" t="s">
        <v>2375</v>
      </c>
      <c r="R3120" s="204" t="s">
        <v>2276</v>
      </c>
      <c r="S3120" s="204" t="s">
        <v>2276</v>
      </c>
      <c r="T3120" s="204" t="s">
        <v>2276</v>
      </c>
      <c r="U3120" s="204" t="s">
        <v>2276</v>
      </c>
      <c r="V3120" s="204" t="s">
        <v>2276</v>
      </c>
      <c r="W3120" s="204" t="s">
        <v>2276</v>
      </c>
      <c r="X3120" s="204" t="s">
        <v>2276</v>
      </c>
      <c r="Y3120" s="204" t="s">
        <v>2276</v>
      </c>
      <c r="Z3120" s="204" t="s">
        <v>2276</v>
      </c>
      <c r="AA3120" s="204"/>
      <c r="AB3120" s="4" t="s">
        <v>8374</v>
      </c>
    </row>
    <row r="3121" spans="1:28" ht="48" customHeight="1">
      <c r="A3121" s="156" t="str">
        <f>'Reported burning'!A3121</f>
        <v>338a</v>
      </c>
      <c r="B3121" s="156" t="str">
        <f>'Reported burning'!B3121</f>
        <v>338a.7</v>
      </c>
      <c r="C3121" s="156" t="str">
        <f>'Reported burning'!C3121</f>
        <v>Human, deliberate</v>
      </c>
      <c r="D3121" s="156" t="str">
        <f>'Reported burning'!D3121</f>
        <v>All</v>
      </c>
      <c r="E3121" s="156" t="str">
        <f>'Reported burning'!E3121</f>
        <v>Mixed cropping-livestock small holder, Subsistence-oriented</v>
      </c>
      <c r="F3121" s="156" t="str">
        <f>'Reported burning'!F3121</f>
        <v>Shrubland (Mixed forest &amp; grassland)</v>
      </c>
      <c r="G3121" s="156" t="str">
        <f>'Reported burning'!G3121</f>
        <v>Shrubland (Mixed forest &amp; grassland)</v>
      </c>
      <c r="H3121" s="156" t="str">
        <f>'Reported burning'!H3121</f>
        <v>Presence</v>
      </c>
      <c r="I3121" s="5"/>
      <c r="J3121" s="204" t="s">
        <v>2276</v>
      </c>
      <c r="K3121" s="103" t="s">
        <v>2362</v>
      </c>
      <c r="L3121" s="204" t="s">
        <v>2276</v>
      </c>
      <c r="M3121" s="204" t="s">
        <v>2276</v>
      </c>
      <c r="N3121" s="204" t="s">
        <v>2276</v>
      </c>
      <c r="O3121" s="21" t="s">
        <v>2373</v>
      </c>
      <c r="P3121" s="204" t="s">
        <v>2276</v>
      </c>
      <c r="Q3121" s="21" t="s">
        <v>2375</v>
      </c>
      <c r="R3121" s="204" t="s">
        <v>2276</v>
      </c>
      <c r="S3121" s="204" t="s">
        <v>2276</v>
      </c>
      <c r="T3121" s="204" t="s">
        <v>2276</v>
      </c>
      <c r="U3121" s="204" t="s">
        <v>2276</v>
      </c>
      <c r="V3121" s="204" t="s">
        <v>2276</v>
      </c>
      <c r="W3121" s="204" t="s">
        <v>2276</v>
      </c>
      <c r="X3121" s="204" t="s">
        <v>2276</v>
      </c>
      <c r="Y3121" s="204" t="s">
        <v>2276</v>
      </c>
      <c r="Z3121" s="204" t="s">
        <v>2276</v>
      </c>
      <c r="AA3121" s="204"/>
      <c r="AB3121" s="4" t="s">
        <v>8373</v>
      </c>
    </row>
    <row r="3122" spans="1:28" ht="48" customHeight="1">
      <c r="A3122" s="156" t="str">
        <f>'Reported burning'!A3122</f>
        <v>338b</v>
      </c>
      <c r="B3122" s="156" t="str">
        <f>'Reported burning'!B3122</f>
        <v>338b.8</v>
      </c>
      <c r="C3122" s="156" t="str">
        <f>'Reported burning'!C3122</f>
        <v>Human, deliberate</v>
      </c>
      <c r="D3122" s="156" t="str">
        <f>'Reported burning'!D3122</f>
        <v>All</v>
      </c>
      <c r="E3122" s="156" t="str">
        <f>'Reported burning'!E3122</f>
        <v>Mixed cropping-livestock small holder, Subsistence-oriented</v>
      </c>
      <c r="F3122" s="156" t="str">
        <f>'Reported burning'!F3122</f>
        <v>Shrubland (Mixed forest &amp; grassland)</v>
      </c>
      <c r="G3122" s="156" t="str">
        <f>'Reported burning'!G3122</f>
        <v>Shrubland (Mixed forest &amp; grassland)</v>
      </c>
      <c r="H3122" s="156" t="str">
        <f>'Reported burning'!H3122</f>
        <v>Presence</v>
      </c>
      <c r="I3122" s="5"/>
      <c r="J3122" s="204" t="s">
        <v>2276</v>
      </c>
      <c r="K3122" s="103" t="s">
        <v>2362</v>
      </c>
      <c r="L3122" s="204" t="s">
        <v>2276</v>
      </c>
      <c r="M3122" s="204" t="s">
        <v>2276</v>
      </c>
      <c r="N3122" s="204" t="s">
        <v>2276</v>
      </c>
      <c r="O3122" s="21" t="s">
        <v>2373</v>
      </c>
      <c r="P3122" s="204" t="s">
        <v>2276</v>
      </c>
      <c r="Q3122" s="21" t="s">
        <v>2375</v>
      </c>
      <c r="R3122" s="204" t="s">
        <v>2276</v>
      </c>
      <c r="S3122" s="204" t="s">
        <v>2276</v>
      </c>
      <c r="T3122" s="204" t="s">
        <v>2276</v>
      </c>
      <c r="U3122" s="204" t="s">
        <v>2276</v>
      </c>
      <c r="V3122" s="204" t="s">
        <v>2276</v>
      </c>
      <c r="W3122" s="204" t="s">
        <v>2276</v>
      </c>
      <c r="X3122" s="204" t="s">
        <v>2276</v>
      </c>
      <c r="Y3122" s="204" t="s">
        <v>2276</v>
      </c>
      <c r="Z3122" s="204" t="s">
        <v>2276</v>
      </c>
      <c r="AA3122" s="204"/>
      <c r="AB3122" s="4" t="s">
        <v>8373</v>
      </c>
    </row>
    <row r="3123" spans="1:28" ht="48" customHeight="1">
      <c r="A3123" s="156" t="str">
        <f>'Reported burning'!A3123</f>
        <v>338c</v>
      </c>
      <c r="B3123" s="156" t="str">
        <f>'Reported burning'!B3123</f>
        <v>338c.10</v>
      </c>
      <c r="C3123" s="156" t="str">
        <f>'Reported burning'!C3123</f>
        <v>Human, deliberate</v>
      </c>
      <c r="D3123" s="156" t="str">
        <f>'Reported burning'!D3123</f>
        <v>All</v>
      </c>
      <c r="E3123" s="156" t="str">
        <f>'Reported burning'!E3123</f>
        <v>Mixed cropping-livestock small holder, Subsistence-oriented</v>
      </c>
      <c r="F3123" s="156" t="str">
        <f>'Reported burning'!F3123</f>
        <v>Shrubland (Mixed forest &amp; grassland)</v>
      </c>
      <c r="G3123" s="156" t="str">
        <f>'Reported burning'!G3123</f>
        <v>Shrubland (Mixed forest &amp; grassland)</v>
      </c>
      <c r="H3123" s="156" t="str">
        <f>'Reported burning'!H3123</f>
        <v>Presence</v>
      </c>
      <c r="I3123" s="5"/>
      <c r="J3123" s="204" t="s">
        <v>2276</v>
      </c>
      <c r="K3123" s="103" t="s">
        <v>2362</v>
      </c>
      <c r="L3123" s="204" t="s">
        <v>2276</v>
      </c>
      <c r="M3123" s="204" t="s">
        <v>2276</v>
      </c>
      <c r="N3123" s="204" t="s">
        <v>2276</v>
      </c>
      <c r="O3123" s="21" t="s">
        <v>2373</v>
      </c>
      <c r="P3123" s="204" t="s">
        <v>2276</v>
      </c>
      <c r="Q3123" s="21" t="s">
        <v>2375</v>
      </c>
      <c r="R3123" s="204" t="s">
        <v>2276</v>
      </c>
      <c r="S3123" s="204" t="s">
        <v>2276</v>
      </c>
      <c r="T3123" s="204" t="s">
        <v>2276</v>
      </c>
      <c r="U3123" s="204" t="s">
        <v>2276</v>
      </c>
      <c r="V3123" s="204" t="s">
        <v>2276</v>
      </c>
      <c r="W3123" s="204" t="s">
        <v>2276</v>
      </c>
      <c r="X3123" s="204" t="s">
        <v>2276</v>
      </c>
      <c r="Y3123" s="204" t="s">
        <v>2276</v>
      </c>
      <c r="Z3123" s="204" t="s">
        <v>2276</v>
      </c>
      <c r="AA3123" s="204"/>
      <c r="AB3123" s="4" t="s">
        <v>8373</v>
      </c>
    </row>
    <row r="3124" spans="1:28" ht="48" customHeight="1">
      <c r="A3124" s="156" t="str">
        <f>'Reported burning'!A3124</f>
        <v>338d</v>
      </c>
      <c r="B3124" s="156" t="str">
        <f>'Reported burning'!B3124</f>
        <v>338d.9</v>
      </c>
      <c r="C3124" s="156" t="str">
        <f>'Reported burning'!C3124</f>
        <v>Human, deliberate</v>
      </c>
      <c r="D3124" s="156" t="str">
        <f>'Reported burning'!D3124</f>
        <v>All</v>
      </c>
      <c r="E3124" s="156" t="str">
        <f>'Reported burning'!E3124</f>
        <v>Mixed cropping-livestock small holder, Subsistence-oriented</v>
      </c>
      <c r="F3124" s="156" t="str">
        <f>'Reported burning'!F3124</f>
        <v>Shrubland (Mixed forest &amp; grassland)</v>
      </c>
      <c r="G3124" s="156" t="str">
        <f>'Reported burning'!G3124</f>
        <v>Shrubland (Mixed forest &amp; grassland)</v>
      </c>
      <c r="H3124" s="156" t="str">
        <f>'Reported burning'!H3124</f>
        <v>Presence</v>
      </c>
      <c r="I3124" s="5"/>
      <c r="J3124" s="204" t="s">
        <v>2276</v>
      </c>
      <c r="K3124" s="103" t="s">
        <v>2362</v>
      </c>
      <c r="L3124" s="204" t="s">
        <v>2276</v>
      </c>
      <c r="M3124" s="204" t="s">
        <v>2276</v>
      </c>
      <c r="N3124" s="204" t="s">
        <v>2276</v>
      </c>
      <c r="O3124" s="21" t="s">
        <v>2373</v>
      </c>
      <c r="P3124" s="204" t="s">
        <v>2276</v>
      </c>
      <c r="Q3124" s="21" t="s">
        <v>2375</v>
      </c>
      <c r="R3124" s="204" t="s">
        <v>2276</v>
      </c>
      <c r="S3124" s="204" t="s">
        <v>2276</v>
      </c>
      <c r="T3124" s="204" t="s">
        <v>2276</v>
      </c>
      <c r="U3124" s="204" t="s">
        <v>2276</v>
      </c>
      <c r="V3124" s="204" t="s">
        <v>2276</v>
      </c>
      <c r="W3124" s="204" t="s">
        <v>2276</v>
      </c>
      <c r="X3124" s="204" t="s">
        <v>2276</v>
      </c>
      <c r="Y3124" s="204" t="s">
        <v>2276</v>
      </c>
      <c r="Z3124" s="204" t="s">
        <v>2276</v>
      </c>
      <c r="AA3124" s="204"/>
      <c r="AB3124" s="4" t="s">
        <v>8373</v>
      </c>
    </row>
    <row r="3125" spans="1:28" ht="48" customHeight="1">
      <c r="A3125" s="156" t="str">
        <f>'Reported burning'!A3125</f>
        <v>338a</v>
      </c>
      <c r="B3125" s="156" t="str">
        <f>'Reported burning'!B3125</f>
        <v>338a.8</v>
      </c>
      <c r="C3125" s="156" t="str">
        <f>'Reported burning'!C3125</f>
        <v>Human, deliberate</v>
      </c>
      <c r="D3125" s="156" t="str">
        <f>'Reported burning'!D3125</f>
        <v>All</v>
      </c>
      <c r="E3125" s="156" t="str">
        <f>'Reported burning'!E3125</f>
        <v>Mixed cropping-livestock small holder, Subsistence-oriented</v>
      </c>
      <c r="F3125" s="156" t="str">
        <f>'Reported burning'!F3125</f>
        <v>ND</v>
      </c>
      <c r="G3125" s="156" t="str">
        <f>'Reported burning'!G3125</f>
        <v>ND</v>
      </c>
      <c r="H3125" s="156" t="str">
        <f>'Reported burning'!H3125</f>
        <v>Presence</v>
      </c>
      <c r="I3125" s="5"/>
      <c r="J3125" s="204" t="s">
        <v>2276</v>
      </c>
      <c r="K3125" s="103" t="s">
        <v>2362</v>
      </c>
      <c r="L3125" s="204" t="s">
        <v>2276</v>
      </c>
      <c r="M3125" s="204" t="s">
        <v>2276</v>
      </c>
      <c r="N3125" s="204" t="s">
        <v>2276</v>
      </c>
      <c r="O3125" s="21" t="s">
        <v>2373</v>
      </c>
      <c r="P3125" s="204" t="s">
        <v>2276</v>
      </c>
      <c r="Q3125" s="21" t="s">
        <v>2375</v>
      </c>
      <c r="R3125" s="204" t="s">
        <v>2276</v>
      </c>
      <c r="S3125" s="204" t="s">
        <v>2276</v>
      </c>
      <c r="T3125" s="204" t="s">
        <v>2276</v>
      </c>
      <c r="U3125" s="204" t="s">
        <v>2276</v>
      </c>
      <c r="V3125" s="204" t="s">
        <v>2276</v>
      </c>
      <c r="W3125" s="21" t="s">
        <v>2402</v>
      </c>
      <c r="X3125" s="204" t="s">
        <v>34</v>
      </c>
      <c r="Y3125" s="204" t="s">
        <v>35</v>
      </c>
      <c r="Z3125" s="204" t="s">
        <v>64</v>
      </c>
      <c r="AA3125" s="204"/>
      <c r="AB3125" s="4" t="s">
        <v>8379</v>
      </c>
    </row>
    <row r="3126" spans="1:28" ht="48" customHeight="1">
      <c r="A3126" s="156" t="str">
        <f>'Reported burning'!A3126</f>
        <v>338b</v>
      </c>
      <c r="B3126" s="156" t="str">
        <f>'Reported burning'!B3126</f>
        <v>338b.9</v>
      </c>
      <c r="C3126" s="156" t="str">
        <f>'Reported burning'!C3126</f>
        <v>Human, deliberate</v>
      </c>
      <c r="D3126" s="156" t="str">
        <f>'Reported burning'!D3126</f>
        <v>All</v>
      </c>
      <c r="E3126" s="156" t="str">
        <f>'Reported burning'!E3126</f>
        <v>Mixed cropping-livestock small holder, Subsistence-oriented</v>
      </c>
      <c r="F3126" s="156" t="str">
        <f>'Reported burning'!F3126</f>
        <v>ND</v>
      </c>
      <c r="G3126" s="156" t="str">
        <f>'Reported burning'!G3126</f>
        <v>ND</v>
      </c>
      <c r="H3126" s="156" t="str">
        <f>'Reported burning'!H3126</f>
        <v>Presence</v>
      </c>
      <c r="I3126" s="5"/>
      <c r="J3126" s="204" t="s">
        <v>2276</v>
      </c>
      <c r="K3126" s="103" t="s">
        <v>2362</v>
      </c>
      <c r="L3126" s="204" t="s">
        <v>2276</v>
      </c>
      <c r="M3126" s="204" t="s">
        <v>2276</v>
      </c>
      <c r="N3126" s="204" t="s">
        <v>2276</v>
      </c>
      <c r="O3126" s="21" t="s">
        <v>2373</v>
      </c>
      <c r="P3126" s="204" t="s">
        <v>2276</v>
      </c>
      <c r="Q3126" s="21" t="s">
        <v>2375</v>
      </c>
      <c r="R3126" s="204" t="s">
        <v>2276</v>
      </c>
      <c r="S3126" s="204" t="s">
        <v>2276</v>
      </c>
      <c r="T3126" s="204" t="s">
        <v>2276</v>
      </c>
      <c r="U3126" s="204" t="s">
        <v>2276</v>
      </c>
      <c r="V3126" s="204" t="s">
        <v>2276</v>
      </c>
      <c r="W3126" s="21" t="s">
        <v>2403</v>
      </c>
      <c r="X3126" s="204" t="s">
        <v>34</v>
      </c>
      <c r="Y3126" s="204" t="s">
        <v>35</v>
      </c>
      <c r="Z3126" s="204" t="s">
        <v>64</v>
      </c>
      <c r="AA3126" s="204"/>
      <c r="AB3126" s="4" t="s">
        <v>8379</v>
      </c>
    </row>
    <row r="3127" spans="1:28" ht="48" customHeight="1">
      <c r="A3127" s="156" t="str">
        <f>'Reported burning'!A3127</f>
        <v>338c</v>
      </c>
      <c r="B3127" s="156" t="str">
        <f>'Reported burning'!B3127</f>
        <v>338c.11</v>
      </c>
      <c r="C3127" s="156" t="str">
        <f>'Reported burning'!C3127</f>
        <v>Human, deliberate</v>
      </c>
      <c r="D3127" s="156" t="str">
        <f>'Reported burning'!D3127</f>
        <v>All</v>
      </c>
      <c r="E3127" s="156" t="str">
        <f>'Reported burning'!E3127</f>
        <v>Mixed cropping-livestock small holder, Subsistence-oriented</v>
      </c>
      <c r="F3127" s="156" t="str">
        <f>'Reported burning'!F3127</f>
        <v>ND</v>
      </c>
      <c r="G3127" s="156" t="str">
        <f>'Reported burning'!G3127</f>
        <v>ND</v>
      </c>
      <c r="H3127" s="156" t="str">
        <f>'Reported burning'!H3127</f>
        <v>Presence</v>
      </c>
      <c r="I3127" s="5"/>
      <c r="J3127" s="204" t="s">
        <v>2276</v>
      </c>
      <c r="K3127" s="103" t="s">
        <v>2362</v>
      </c>
      <c r="L3127" s="204" t="s">
        <v>2276</v>
      </c>
      <c r="M3127" s="204" t="s">
        <v>2276</v>
      </c>
      <c r="N3127" s="204" t="s">
        <v>2276</v>
      </c>
      <c r="O3127" s="21" t="s">
        <v>2373</v>
      </c>
      <c r="P3127" s="204" t="s">
        <v>2276</v>
      </c>
      <c r="Q3127" s="21" t="s">
        <v>2375</v>
      </c>
      <c r="R3127" s="204" t="s">
        <v>2276</v>
      </c>
      <c r="S3127" s="204" t="s">
        <v>2276</v>
      </c>
      <c r="T3127" s="204" t="s">
        <v>2276</v>
      </c>
      <c r="U3127" s="204" t="s">
        <v>2276</v>
      </c>
      <c r="V3127" s="204" t="s">
        <v>2276</v>
      </c>
      <c r="W3127" s="21" t="s">
        <v>2404</v>
      </c>
      <c r="X3127" s="204" t="s">
        <v>86</v>
      </c>
      <c r="Y3127" s="204" t="s">
        <v>127</v>
      </c>
      <c r="Z3127" s="204" t="s">
        <v>64</v>
      </c>
      <c r="AA3127" s="204"/>
      <c r="AB3127" s="4" t="s">
        <v>8380</v>
      </c>
    </row>
    <row r="3128" spans="1:28" ht="48" customHeight="1">
      <c r="A3128" s="156" t="str">
        <f>'Reported burning'!A3128</f>
        <v>338d</v>
      </c>
      <c r="B3128" s="156" t="str">
        <f>'Reported burning'!B3128</f>
        <v>338d.10</v>
      </c>
      <c r="C3128" s="156" t="str">
        <f>'Reported burning'!C3128</f>
        <v>Human, deliberate</v>
      </c>
      <c r="D3128" s="156" t="str">
        <f>'Reported burning'!D3128</f>
        <v>All</v>
      </c>
      <c r="E3128" s="156" t="str">
        <f>'Reported burning'!E3128</f>
        <v>Mixed cropping-livestock small holder, Subsistence-oriented</v>
      </c>
      <c r="F3128" s="156" t="str">
        <f>'Reported burning'!F3128</f>
        <v>ND</v>
      </c>
      <c r="G3128" s="156" t="str">
        <f>'Reported burning'!G3128</f>
        <v>ND</v>
      </c>
      <c r="H3128" s="156" t="str">
        <f>'Reported burning'!H3128</f>
        <v>Presence</v>
      </c>
      <c r="I3128" s="5"/>
      <c r="J3128" s="204" t="s">
        <v>2276</v>
      </c>
      <c r="K3128" s="103" t="s">
        <v>2362</v>
      </c>
      <c r="L3128" s="204" t="s">
        <v>2276</v>
      </c>
      <c r="M3128" s="204" t="s">
        <v>2276</v>
      </c>
      <c r="N3128" s="204" t="s">
        <v>2276</v>
      </c>
      <c r="O3128" s="21" t="s">
        <v>2373</v>
      </c>
      <c r="P3128" s="204" t="s">
        <v>2276</v>
      </c>
      <c r="Q3128" s="21" t="s">
        <v>2375</v>
      </c>
      <c r="R3128" s="204" t="s">
        <v>2276</v>
      </c>
      <c r="S3128" s="204" t="s">
        <v>2276</v>
      </c>
      <c r="T3128" s="204" t="s">
        <v>2276</v>
      </c>
      <c r="U3128" s="204" t="s">
        <v>2276</v>
      </c>
      <c r="V3128" s="204" t="s">
        <v>2276</v>
      </c>
      <c r="W3128" s="21" t="s">
        <v>2402</v>
      </c>
      <c r="X3128" s="204" t="s">
        <v>86</v>
      </c>
      <c r="Y3128" s="204" t="s">
        <v>127</v>
      </c>
      <c r="Z3128" s="204" t="s">
        <v>64</v>
      </c>
      <c r="AA3128" s="204"/>
      <c r="AB3128" s="4" t="s">
        <v>8380</v>
      </c>
    </row>
    <row r="3129" spans="1:28" ht="56.5" customHeight="1">
      <c r="A3129" s="156" t="str">
        <f>'Reported burning'!A3129</f>
        <v>338a</v>
      </c>
      <c r="B3129" s="156" t="str">
        <f>'Reported burning'!B3129</f>
        <v>338a.9</v>
      </c>
      <c r="C3129" s="156" t="str">
        <f>'Reported burning'!C3129</f>
        <v>Human, escaped</v>
      </c>
      <c r="D3129" s="156" t="str">
        <f>'Reported burning'!D3129</f>
        <v>All</v>
      </c>
      <c r="E3129" s="156" t="str">
        <f>'Reported burning'!E3129</f>
        <v>Mixed cropping-livestock small holder, Subsistence-oriented</v>
      </c>
      <c r="F3129" s="156" t="str">
        <f>'Reported burning'!F3129</f>
        <v>Shrubland (Mixed forest &amp; grassland)</v>
      </c>
      <c r="G3129" s="156" t="str">
        <f>'Reported burning'!G3129</f>
        <v>Forest</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c r="AB3129" s="204"/>
    </row>
    <row r="3130" spans="1:28" ht="56.5" customHeight="1">
      <c r="A3130" s="156" t="str">
        <f>'Reported burning'!A3130</f>
        <v>338b</v>
      </c>
      <c r="B3130" s="156" t="str">
        <f>'Reported burning'!B3130</f>
        <v>338b.10</v>
      </c>
      <c r="C3130" s="156" t="str">
        <f>'Reported burning'!C3130</f>
        <v>Human, escaped</v>
      </c>
      <c r="D3130" s="156" t="str">
        <f>'Reported burning'!D3130</f>
        <v>All</v>
      </c>
      <c r="E3130" s="156" t="str">
        <f>'Reported burning'!E3130</f>
        <v>Mixed cropping-livestock small holder, Subsistence-oriented</v>
      </c>
      <c r="F3130" s="156" t="str">
        <f>'Reported burning'!F3130</f>
        <v>Shrubland (Mixed forest &amp; grassland)</v>
      </c>
      <c r="G3130" s="156" t="str">
        <f>'Reported burning'!G3130</f>
        <v>Forest</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56.5" customHeight="1">
      <c r="A3131" s="156" t="str">
        <f>'Reported burning'!A3131</f>
        <v>338c</v>
      </c>
      <c r="B3131" s="156" t="str">
        <f>'Reported burning'!B3131</f>
        <v>338c.12</v>
      </c>
      <c r="C3131" s="156" t="str">
        <f>'Reported burning'!C3131</f>
        <v>Human, escaped</v>
      </c>
      <c r="D3131" s="156" t="str">
        <f>'Reported burning'!D3131</f>
        <v>All</v>
      </c>
      <c r="E3131" s="156" t="str">
        <f>'Reported burning'!E3131</f>
        <v>Mixed cropping-livestock small holder, Subsistence-oriented</v>
      </c>
      <c r="F3131" s="156" t="str">
        <f>'Reported burning'!F3131</f>
        <v>Shrubland (Mixed forest &amp; grassland)</v>
      </c>
      <c r="G3131" s="156" t="str">
        <f>'Reported burning'!G3131</f>
        <v>Forest</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56.5" customHeight="1">
      <c r="A3132" s="156" t="str">
        <f>'Reported burning'!A3132</f>
        <v>338d</v>
      </c>
      <c r="B3132" s="156" t="str">
        <f>'Reported burning'!B3132</f>
        <v>338d.11</v>
      </c>
      <c r="C3132" s="156" t="str">
        <f>'Reported burning'!C3132</f>
        <v>Human, escaped</v>
      </c>
      <c r="D3132" s="156" t="str">
        <f>'Reported burning'!D3132</f>
        <v>All</v>
      </c>
      <c r="E3132" s="156" t="str">
        <f>'Reported burning'!E3132</f>
        <v>Mixed cropping-livestock small holder, Subsistence-oriented</v>
      </c>
      <c r="F3132" s="156" t="str">
        <f>'Reported burning'!F3132</f>
        <v>Shrubland (Mixed forest &amp; grassland)</v>
      </c>
      <c r="G3132" s="156" t="str">
        <f>'Reported burning'!G3132</f>
        <v>Forest</v>
      </c>
      <c r="H3132" s="156" t="str">
        <f>'Reported burning'!H3132</f>
        <v>Presence</v>
      </c>
      <c r="I3132" s="5"/>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c r="AB3132" s="204"/>
    </row>
    <row r="3133" spans="1:28" ht="56.5" customHeight="1">
      <c r="A3133" s="156" t="str">
        <f>'Reported burning'!A3133</f>
        <v>339a</v>
      </c>
      <c r="B3133" s="156" t="str">
        <f>'Reported burning'!B3133</f>
        <v>339a.1</v>
      </c>
      <c r="C3133" s="156" t="str">
        <f>'Reported burning'!C3133</f>
        <v>Human, deliberate</v>
      </c>
      <c r="D3133" s="156" t="str">
        <f>'Reported burning'!D3133</f>
        <v>Crop residue burning</v>
      </c>
      <c r="E3133" s="156" t="str">
        <f>'Reported burning'!E3133</f>
        <v>Cropping, Monoculture, Market-oriented</v>
      </c>
      <c r="F3133" s="156" t="str">
        <f>'Reported burning'!F3133</f>
        <v>Cropland</v>
      </c>
      <c r="G3133" s="156" t="str">
        <f>'Reported burning'!G3133</f>
        <v>ND</v>
      </c>
      <c r="H3133" s="156" t="str">
        <f>'Reported burning'!H3133</f>
        <v>Presence</v>
      </c>
      <c r="I3133" s="5"/>
      <c r="J3133" s="204" t="s">
        <v>2276</v>
      </c>
      <c r="K3133" s="204" t="s">
        <v>2276</v>
      </c>
      <c r="L3133" s="204" t="s">
        <v>2276</v>
      </c>
      <c r="M3133" s="204" t="s">
        <v>2276</v>
      </c>
      <c r="N3133" s="204" t="s">
        <v>2276</v>
      </c>
      <c r="O3133" s="204" t="s">
        <v>2276</v>
      </c>
      <c r="P3133" s="204" t="s">
        <v>2276</v>
      </c>
      <c r="Q3133" s="204" t="s">
        <v>2276</v>
      </c>
      <c r="R3133" s="204" t="s">
        <v>2276</v>
      </c>
      <c r="S3133" s="21" t="s">
        <v>2392</v>
      </c>
      <c r="T3133" s="204" t="s">
        <v>2276</v>
      </c>
      <c r="U3133" s="204" t="s">
        <v>2276</v>
      </c>
      <c r="V3133" s="204" t="s">
        <v>2276</v>
      </c>
      <c r="W3133" s="204" t="s">
        <v>2276</v>
      </c>
      <c r="X3133" s="204" t="s">
        <v>2276</v>
      </c>
      <c r="Y3133" s="204" t="s">
        <v>2276</v>
      </c>
      <c r="Z3133" s="204" t="s">
        <v>2276</v>
      </c>
      <c r="AA3133" s="204"/>
      <c r="AB3133" s="204"/>
    </row>
    <row r="3134" spans="1:28" ht="38.5" customHeight="1">
      <c r="A3134" s="156" t="str">
        <f>'Reported burning'!A3134</f>
        <v>339a</v>
      </c>
      <c r="B3134" s="156" t="str">
        <f>'Reported burning'!B3134</f>
        <v>339a.2</v>
      </c>
      <c r="C3134" s="156" t="str">
        <f>'Reported burning'!C3134</f>
        <v>Human, deliberate</v>
      </c>
      <c r="D3134" s="156" t="str">
        <f>'Reported burning'!D3134</f>
        <v>Crop residue burning</v>
      </c>
      <c r="E3134" s="156" t="str">
        <f>'Reported burning'!E3134</f>
        <v>Cropping, Monoculture, Market-oriented</v>
      </c>
      <c r="F3134" s="156" t="str">
        <f>'Reported burning'!F3134</f>
        <v>Cropland</v>
      </c>
      <c r="G3134" s="156" t="str">
        <f>'Reported burning'!G3134</f>
        <v>ND</v>
      </c>
      <c r="H3134" s="156" t="str">
        <f>'Reported burning'!H3134</f>
        <v>Presence</v>
      </c>
      <c r="I3134" s="5"/>
      <c r="J3134" s="204" t="s">
        <v>2276</v>
      </c>
      <c r="K3134" s="204" t="s">
        <v>2276</v>
      </c>
      <c r="L3134" s="204" t="s">
        <v>2276</v>
      </c>
      <c r="M3134" s="204" t="s">
        <v>2276</v>
      </c>
      <c r="N3134" s="204" t="s">
        <v>2276</v>
      </c>
      <c r="O3134" s="204" t="s">
        <v>2276</v>
      </c>
      <c r="P3134" s="204" t="s">
        <v>2276</v>
      </c>
      <c r="Q3134" s="204" t="s">
        <v>2276</v>
      </c>
      <c r="R3134" s="204" t="s">
        <v>2276</v>
      </c>
      <c r="S3134" s="21" t="s">
        <v>2376</v>
      </c>
      <c r="T3134" s="204" t="s">
        <v>2276</v>
      </c>
      <c r="U3134" s="204" t="s">
        <v>2276</v>
      </c>
      <c r="V3134" s="204" t="s">
        <v>2276</v>
      </c>
      <c r="W3134" s="204" t="s">
        <v>2276</v>
      </c>
      <c r="X3134" s="204" t="s">
        <v>2276</v>
      </c>
      <c r="Y3134" s="204" t="s">
        <v>2276</v>
      </c>
      <c r="Z3134" s="204" t="s">
        <v>2276</v>
      </c>
      <c r="AA3134" s="204"/>
      <c r="AB3134" s="204"/>
    </row>
    <row r="3135" spans="1:28" ht="38.5" customHeight="1">
      <c r="A3135" s="156" t="str">
        <f>'Reported burning'!A3135</f>
        <v>339b</v>
      </c>
      <c r="B3135" s="156" t="str">
        <f>'Reported burning'!B3135</f>
        <v>339b.1</v>
      </c>
      <c r="C3135" s="156" t="str">
        <f>'Reported burning'!C3135</f>
        <v>Human, deliberate</v>
      </c>
      <c r="D3135" s="156" t="str">
        <f>'Reported burning'!D3135</f>
        <v>Crop residue burning</v>
      </c>
      <c r="E3135" s="156" t="str">
        <f>'Reported burning'!E3135</f>
        <v>Cropping, Monoculture, Market-oriented</v>
      </c>
      <c r="F3135" s="156" t="str">
        <f>'Reported burning'!F3135</f>
        <v>Cropland</v>
      </c>
      <c r="G3135" s="156" t="str">
        <f>'Reported burning'!G3135</f>
        <v>ND</v>
      </c>
      <c r="H3135" s="156" t="str">
        <f>'Reported burning'!H3135</f>
        <v>Presence</v>
      </c>
      <c r="I3135" s="5"/>
      <c r="J3135" s="204" t="s">
        <v>2276</v>
      </c>
      <c r="K3135" s="204" t="s">
        <v>2276</v>
      </c>
      <c r="L3135" s="204" t="s">
        <v>2276</v>
      </c>
      <c r="M3135" s="204" t="s">
        <v>2276</v>
      </c>
      <c r="N3135" s="204" t="s">
        <v>2276</v>
      </c>
      <c r="O3135" s="204" t="s">
        <v>2276</v>
      </c>
      <c r="P3135" s="204" t="s">
        <v>2276</v>
      </c>
      <c r="Q3135" s="204" t="s">
        <v>2276</v>
      </c>
      <c r="R3135" s="204" t="s">
        <v>2276</v>
      </c>
      <c r="S3135" s="21" t="s">
        <v>2390</v>
      </c>
      <c r="T3135" s="204" t="s">
        <v>2276</v>
      </c>
      <c r="U3135" s="204" t="s">
        <v>2276</v>
      </c>
      <c r="V3135" s="204" t="s">
        <v>2276</v>
      </c>
      <c r="W3135" s="204" t="s">
        <v>2276</v>
      </c>
      <c r="X3135" s="204" t="s">
        <v>2276</v>
      </c>
      <c r="Y3135" s="204" t="s">
        <v>2276</v>
      </c>
      <c r="Z3135" s="204" t="s">
        <v>2276</v>
      </c>
      <c r="AA3135" s="204"/>
      <c r="AB3135" s="204"/>
    </row>
    <row r="3136" spans="1:28" ht="38.5" customHeight="1">
      <c r="A3136" s="156" t="str">
        <f>'Reported burning'!A3136</f>
        <v>339b</v>
      </c>
      <c r="B3136" s="156" t="str">
        <f>'Reported burning'!B3136</f>
        <v>339b.2</v>
      </c>
      <c r="C3136" s="156" t="str">
        <f>'Reported burning'!C3136</f>
        <v>Human, deliberate</v>
      </c>
      <c r="D3136" s="156" t="str">
        <f>'Reported burning'!D3136</f>
        <v>Crop residue burning</v>
      </c>
      <c r="E3136" s="156" t="str">
        <f>'Reported burning'!E3136</f>
        <v>Cropping, Monoculture, Market-oriented</v>
      </c>
      <c r="F3136" s="156" t="str">
        <f>'Reported burning'!F3136</f>
        <v>Cropland</v>
      </c>
      <c r="G3136" s="156" t="str">
        <f>'Reported burning'!G3136</f>
        <v>ND</v>
      </c>
      <c r="H3136" s="156" t="str">
        <f>'Reported burning'!H3136</f>
        <v>Presence</v>
      </c>
      <c r="I3136" s="5"/>
      <c r="J3136" s="204" t="s">
        <v>2276</v>
      </c>
      <c r="K3136" s="204" t="s">
        <v>2276</v>
      </c>
      <c r="L3136" s="204" t="s">
        <v>2276</v>
      </c>
      <c r="M3136" s="204" t="s">
        <v>2276</v>
      </c>
      <c r="N3136" s="204" t="s">
        <v>2276</v>
      </c>
      <c r="O3136" s="204" t="s">
        <v>2276</v>
      </c>
      <c r="P3136" s="204" t="s">
        <v>2276</v>
      </c>
      <c r="Q3136" s="204" t="s">
        <v>2276</v>
      </c>
      <c r="R3136" s="204" t="s">
        <v>2276</v>
      </c>
      <c r="S3136" s="21" t="s">
        <v>2376</v>
      </c>
      <c r="T3136" s="204" t="s">
        <v>2276</v>
      </c>
      <c r="U3136" s="204" t="s">
        <v>2276</v>
      </c>
      <c r="V3136" s="204" t="s">
        <v>2276</v>
      </c>
      <c r="W3136" s="204" t="s">
        <v>2276</v>
      </c>
      <c r="X3136" s="204" t="s">
        <v>2276</v>
      </c>
      <c r="Y3136" s="204" t="s">
        <v>2276</v>
      </c>
      <c r="Z3136" s="204" t="s">
        <v>2276</v>
      </c>
      <c r="AA3136" s="204"/>
      <c r="AB3136" s="204"/>
    </row>
    <row r="3137" spans="1:28" ht="36" customHeight="1">
      <c r="A3137" s="156" t="str">
        <f>'Reported burning'!A3137</f>
        <v>339c</v>
      </c>
      <c r="B3137" s="156" t="str">
        <f>'Reported burning'!B3137</f>
        <v>339c.1</v>
      </c>
      <c r="C3137" s="156" t="str">
        <f>'Reported burning'!C3137</f>
        <v>Human, deliberate</v>
      </c>
      <c r="D3137" s="156" t="str">
        <f>'Reported burning'!D3137</f>
        <v>Crop residue burning</v>
      </c>
      <c r="E3137" s="156" t="str">
        <f>'Reported burning'!E3137</f>
        <v>Cropping, Monoculture, Market-oriented</v>
      </c>
      <c r="F3137" s="156" t="str">
        <f>'Reported burning'!F3137</f>
        <v>Cropland</v>
      </c>
      <c r="G3137" s="156" t="str">
        <f>'Reported burning'!G3137</f>
        <v>ND</v>
      </c>
      <c r="H3137" s="156" t="str">
        <f>'Reported burning'!H3137</f>
        <v>Presence</v>
      </c>
      <c r="I3137" s="5"/>
      <c r="J3137" s="204" t="s">
        <v>2276</v>
      </c>
      <c r="K3137" s="204" t="s">
        <v>2276</v>
      </c>
      <c r="L3137" s="204" t="s">
        <v>2276</v>
      </c>
      <c r="M3137" s="204" t="s">
        <v>2276</v>
      </c>
      <c r="N3137" s="204" t="s">
        <v>2276</v>
      </c>
      <c r="O3137" s="204" t="s">
        <v>2276</v>
      </c>
      <c r="P3137" s="204" t="s">
        <v>2276</v>
      </c>
      <c r="Q3137" s="204" t="s">
        <v>2276</v>
      </c>
      <c r="R3137" s="204" t="s">
        <v>2276</v>
      </c>
      <c r="S3137" s="14" t="s">
        <v>2376</v>
      </c>
      <c r="T3137" s="204" t="s">
        <v>2276</v>
      </c>
      <c r="U3137" s="204" t="s">
        <v>2276</v>
      </c>
      <c r="V3137" s="204" t="s">
        <v>2276</v>
      </c>
      <c r="W3137" s="204" t="s">
        <v>2276</v>
      </c>
      <c r="X3137" s="204" t="s">
        <v>2276</v>
      </c>
      <c r="Y3137" s="204" t="s">
        <v>2276</v>
      </c>
      <c r="Z3137" s="204" t="s">
        <v>2276</v>
      </c>
      <c r="AA3137" s="204"/>
      <c r="AB3137" s="204"/>
    </row>
    <row r="3138" spans="1:28" ht="46.5" customHeight="1">
      <c r="A3138" s="156" t="str">
        <f>'Reported burning'!A3138</f>
        <v>339c</v>
      </c>
      <c r="B3138" s="156" t="str">
        <f>'Reported burning'!B3138</f>
        <v>339c.2</v>
      </c>
      <c r="C3138" s="156" t="str">
        <f>'Reported burning'!C3138</f>
        <v>Human, deliberate</v>
      </c>
      <c r="D3138" s="156" t="str">
        <f>'Reported burning'!D3138</f>
        <v>Crop residue burning</v>
      </c>
      <c r="E3138" s="156" t="str">
        <f>'Reported burning'!E3138</f>
        <v>Cropping, Monoculture, Market-oriented</v>
      </c>
      <c r="F3138" s="156" t="str">
        <f>'Reported burning'!F3138</f>
        <v>Cropland</v>
      </c>
      <c r="G3138" s="156" t="str">
        <f>'Reported burning'!G3138</f>
        <v>ND</v>
      </c>
      <c r="H3138" s="156" t="str">
        <f>'Reported burning'!H3138</f>
        <v>Presence</v>
      </c>
      <c r="I3138" s="5"/>
      <c r="J3138" s="204" t="s">
        <v>2276</v>
      </c>
      <c r="K3138" s="204" t="s">
        <v>2276</v>
      </c>
      <c r="L3138" s="204" t="s">
        <v>2276</v>
      </c>
      <c r="M3138" s="204" t="s">
        <v>2276</v>
      </c>
      <c r="N3138" s="204" t="s">
        <v>2276</v>
      </c>
      <c r="O3138" s="204" t="s">
        <v>2276</v>
      </c>
      <c r="P3138" s="204" t="s">
        <v>2276</v>
      </c>
      <c r="Q3138" s="204" t="s">
        <v>2276</v>
      </c>
      <c r="R3138" s="204" t="s">
        <v>2276</v>
      </c>
      <c r="S3138" s="14" t="s">
        <v>2374</v>
      </c>
      <c r="T3138" s="204" t="s">
        <v>2276</v>
      </c>
      <c r="U3138" s="204" t="s">
        <v>2276</v>
      </c>
      <c r="V3138" s="204" t="s">
        <v>2276</v>
      </c>
      <c r="W3138" s="204" t="s">
        <v>2276</v>
      </c>
      <c r="X3138" s="204" t="s">
        <v>2276</v>
      </c>
      <c r="Y3138" s="204" t="s">
        <v>2276</v>
      </c>
      <c r="Z3138" s="204" t="s">
        <v>2276</v>
      </c>
      <c r="AA3138" s="204"/>
      <c r="AB3138" s="204"/>
    </row>
    <row r="3139" spans="1:28" ht="44" customHeight="1">
      <c r="A3139" s="156" t="str">
        <f>'Reported burning'!A3139</f>
        <v>339c</v>
      </c>
      <c r="B3139" s="156" t="str">
        <f>'Reported burning'!B3139</f>
        <v>339c.3</v>
      </c>
      <c r="C3139" s="156" t="str">
        <f>'Reported burning'!C3139</f>
        <v>Human, deliberate</v>
      </c>
      <c r="D3139" s="156" t="str">
        <f>'Reported burning'!D3139</f>
        <v>Crop residue burning</v>
      </c>
      <c r="E3139" s="156" t="str">
        <f>'Reported burning'!E3139</f>
        <v>Cropping, Monoculture, Subsistence-oriented</v>
      </c>
      <c r="F3139" s="156" t="str">
        <f>'Reported burning'!F3139</f>
        <v>Cropland</v>
      </c>
      <c r="G3139" s="156" t="str">
        <f>'Reported burning'!G3139</f>
        <v>ND</v>
      </c>
      <c r="H3139" s="156" t="str">
        <f>'Reported burning'!H3139</f>
        <v>Presence</v>
      </c>
      <c r="I3139" s="5"/>
      <c r="J3139" s="204" t="s">
        <v>2276</v>
      </c>
      <c r="K3139" s="204" t="s">
        <v>2276</v>
      </c>
      <c r="L3139" s="204" t="s">
        <v>2276</v>
      </c>
      <c r="M3139" s="204" t="s">
        <v>2276</v>
      </c>
      <c r="N3139" s="204" t="s">
        <v>2276</v>
      </c>
      <c r="O3139" s="204" t="s">
        <v>2276</v>
      </c>
      <c r="P3139" s="204" t="s">
        <v>2276</v>
      </c>
      <c r="Q3139" s="204" t="s">
        <v>2276</v>
      </c>
      <c r="R3139" s="204" t="s">
        <v>2276</v>
      </c>
      <c r="S3139" s="14" t="s">
        <v>2527</v>
      </c>
      <c r="T3139" s="204" t="s">
        <v>2276</v>
      </c>
      <c r="U3139" s="204" t="s">
        <v>2276</v>
      </c>
      <c r="V3139" s="204" t="s">
        <v>2276</v>
      </c>
      <c r="W3139" s="204" t="s">
        <v>2276</v>
      </c>
      <c r="X3139" s="204" t="s">
        <v>2276</v>
      </c>
      <c r="Y3139" s="204" t="s">
        <v>2276</v>
      </c>
      <c r="Z3139" s="204" t="s">
        <v>2276</v>
      </c>
      <c r="AA3139" s="204"/>
      <c r="AB3139" s="204"/>
    </row>
    <row r="3140" spans="1:28" ht="44" customHeight="1">
      <c r="A3140" s="156" t="str">
        <f>'Reported burning'!A3140</f>
        <v>339c</v>
      </c>
      <c r="B3140" s="156" t="str">
        <f>'Reported burning'!B3140</f>
        <v>339c.4</v>
      </c>
      <c r="C3140" s="156" t="str">
        <f>'Reported burning'!C3140</f>
        <v>Human, deliberate</v>
      </c>
      <c r="D3140" s="156" t="str">
        <f>'Reported burning'!D3140</f>
        <v>Crop residue burning</v>
      </c>
      <c r="E3140" s="156" t="str">
        <f>'Reported burning'!E3140</f>
        <v>Cropping, Monoculture, Subsistence-oriented</v>
      </c>
      <c r="F3140" s="156" t="str">
        <f>'Reported burning'!F3140</f>
        <v>Cropland</v>
      </c>
      <c r="G3140" s="156" t="str">
        <f>'Reported burning'!G3140</f>
        <v>ND</v>
      </c>
      <c r="H3140" s="156" t="str">
        <f>'Reported burning'!H3140</f>
        <v>Absence</v>
      </c>
      <c r="I3140" s="5"/>
      <c r="J3140" s="21">
        <v>0</v>
      </c>
      <c r="K3140" s="21">
        <v>0</v>
      </c>
      <c r="L3140" s="21">
        <v>0</v>
      </c>
      <c r="M3140" s="21">
        <v>0</v>
      </c>
      <c r="N3140" s="21">
        <v>0</v>
      </c>
      <c r="O3140" s="21">
        <v>0</v>
      </c>
      <c r="P3140" s="21">
        <v>0</v>
      </c>
      <c r="Q3140" s="21">
        <v>0</v>
      </c>
      <c r="R3140" s="21">
        <v>0</v>
      </c>
      <c r="S3140" s="21">
        <v>0</v>
      </c>
      <c r="T3140" s="21">
        <v>0</v>
      </c>
      <c r="U3140" s="21">
        <v>0</v>
      </c>
      <c r="V3140" s="21">
        <v>0</v>
      </c>
      <c r="W3140" s="204" t="s">
        <v>2276</v>
      </c>
      <c r="X3140" s="204" t="s">
        <v>2276</v>
      </c>
      <c r="Y3140" s="204" t="s">
        <v>2276</v>
      </c>
      <c r="Z3140" s="204" t="s">
        <v>2276</v>
      </c>
      <c r="AA3140" s="204"/>
      <c r="AB3140" s="204"/>
    </row>
    <row r="3141" spans="1:28" ht="30.5" customHeight="1">
      <c r="A3141" s="156" t="str">
        <f>'Reported burning'!A3141</f>
        <v>340a</v>
      </c>
      <c r="B3141" s="156" t="str">
        <f>'Reported burning'!B3141</f>
        <v>340a.1</v>
      </c>
      <c r="C3141" s="156" t="str">
        <f>'Reported burning'!C3141</f>
        <v>Human, deliberate</v>
      </c>
      <c r="D3141" s="156" t="str">
        <f>'Reported burning'!D3141</f>
        <v>Crop residue burning</v>
      </c>
      <c r="E3141" s="156" t="str">
        <f>'Reported burning'!E3141</f>
        <v>Cropping, Intensive</v>
      </c>
      <c r="F3141" s="156" t="str">
        <f>'Reported burning'!F3141</f>
        <v>Cropland</v>
      </c>
      <c r="G3141" s="156" t="str">
        <f>'Reported burning'!G3141</f>
        <v>ND</v>
      </c>
      <c r="H3141" s="156" t="str">
        <f>'Reported burning'!H3141</f>
        <v>Presence</v>
      </c>
      <c r="I3141" s="5"/>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2276</v>
      </c>
      <c r="AA3141" s="204"/>
      <c r="AB3141" s="204"/>
    </row>
    <row r="3142" spans="1:28" ht="30.5" customHeight="1">
      <c r="A3142" s="156" t="str">
        <f>'Reported burning'!A3142</f>
        <v>340a</v>
      </c>
      <c r="B3142" s="156" t="str">
        <f>'Reported burning'!B3142</f>
        <v>340a.2</v>
      </c>
      <c r="C3142" s="156" t="str">
        <f>'Reported burning'!C3142</f>
        <v>Human, deliberate</v>
      </c>
      <c r="D3142" s="156" t="str">
        <f>'Reported burning'!D3142</f>
        <v>Crop residue burning</v>
      </c>
      <c r="E3142" s="156" t="str">
        <f>'Reported burning'!E3142</f>
        <v>Cropping, Intensive</v>
      </c>
      <c r="F3142" s="156" t="str">
        <f>'Reported burning'!F3142</f>
        <v>Cropland</v>
      </c>
      <c r="G3142" s="156" t="str">
        <f>'Reported burning'!G3142</f>
        <v>ND</v>
      </c>
      <c r="H3142" s="156" t="str">
        <f>'Reported burning'!H3142</f>
        <v>Absence</v>
      </c>
      <c r="I3142" s="5"/>
      <c r="J3142" s="21">
        <v>0</v>
      </c>
      <c r="K3142" s="21">
        <v>0</v>
      </c>
      <c r="L3142" s="21">
        <v>0</v>
      </c>
      <c r="M3142" s="21">
        <v>0</v>
      </c>
      <c r="N3142" s="21">
        <v>0</v>
      </c>
      <c r="O3142" s="21">
        <v>0</v>
      </c>
      <c r="P3142" s="21">
        <v>0</v>
      </c>
      <c r="Q3142" s="21">
        <v>0</v>
      </c>
      <c r="R3142" s="21">
        <v>0</v>
      </c>
      <c r="S3142" s="21">
        <v>0</v>
      </c>
      <c r="T3142" s="21">
        <v>0</v>
      </c>
      <c r="U3142" s="21">
        <v>0</v>
      </c>
      <c r="V3142" s="21">
        <v>0</v>
      </c>
      <c r="W3142" s="204" t="s">
        <v>2276</v>
      </c>
      <c r="X3142" s="204" t="s">
        <v>2276</v>
      </c>
      <c r="Y3142" s="204" t="s">
        <v>2276</v>
      </c>
      <c r="Z3142" s="204" t="s">
        <v>2276</v>
      </c>
      <c r="AA3142" s="204"/>
      <c r="AB3142" s="204"/>
    </row>
    <row r="3143" spans="1:28" ht="29" customHeight="1">
      <c r="A3143" s="152" t="str">
        <f>'Reported burning'!A3143</f>
        <v>340c</v>
      </c>
      <c r="B3143" s="152" t="str">
        <f>'Reported burning'!B3143</f>
        <v>340c.1</v>
      </c>
      <c r="C3143" s="152" t="str">
        <f>'Reported burning'!C3143</f>
        <v>Human, deliberate</v>
      </c>
      <c r="D3143" s="152" t="str">
        <f>'Reported burning'!D3143</f>
        <v>Crop residue burning</v>
      </c>
      <c r="E3143" s="152" t="str">
        <f>'Reported burning'!E3143</f>
        <v>Cropping, Intensive</v>
      </c>
      <c r="F3143" s="152" t="str">
        <f>'Reported burning'!F3143</f>
        <v>Cropland</v>
      </c>
      <c r="G3143" s="152" t="str">
        <f>'Reported burning'!G3143</f>
        <v>ND</v>
      </c>
      <c r="H3143" s="152" t="str">
        <f>'Reported burning'!H3143</f>
        <v>Presence</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1" t="s">
        <v>2375</v>
      </c>
      <c r="X3143" s="204" t="s">
        <v>38</v>
      </c>
      <c r="Y3143" s="204" t="s">
        <v>35</v>
      </c>
      <c r="Z3143" s="204" t="s">
        <v>76</v>
      </c>
      <c r="AA3143" s="204"/>
      <c r="AB3143" s="204"/>
    </row>
    <row r="3144" spans="1:28" ht="29" customHeight="1">
      <c r="A3144" s="152" t="str">
        <f>'Reported burning'!A3144</f>
        <v>340c</v>
      </c>
      <c r="B3144" s="152" t="str">
        <f>'Reported burning'!B3144</f>
        <v>340c.2</v>
      </c>
      <c r="C3144" s="152" t="str">
        <f>'Reported burning'!C3144</f>
        <v>Human, deliberate</v>
      </c>
      <c r="D3144" s="152" t="str">
        <f>'Reported burning'!D3144</f>
        <v>Crop residue burning</v>
      </c>
      <c r="E3144" s="152" t="str">
        <f>'Reported burning'!E3144</f>
        <v>Cropping, Intensive</v>
      </c>
      <c r="F3144" s="152" t="str">
        <f>'Reported burning'!F3144</f>
        <v>Cropland</v>
      </c>
      <c r="G3144" s="152" t="str">
        <f>'Reported burning'!G3144</f>
        <v>ND</v>
      </c>
      <c r="H3144" s="152" t="str">
        <f>'Reported burning'!H3144</f>
        <v>Presence</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1" t="s">
        <v>2375</v>
      </c>
      <c r="X3144" s="204" t="s">
        <v>38</v>
      </c>
      <c r="Y3144" s="204" t="s">
        <v>35</v>
      </c>
      <c r="Z3144" s="204" t="s">
        <v>76</v>
      </c>
      <c r="AA3144" s="204"/>
      <c r="AB3144" s="204"/>
    </row>
    <row r="3145" spans="1:28" ht="29" customHeight="1">
      <c r="A3145" s="152" t="str">
        <f>'Reported burning'!A3145</f>
        <v>340c</v>
      </c>
      <c r="B3145" s="152" t="str">
        <f>'Reported burning'!B3145</f>
        <v>340c.3</v>
      </c>
      <c r="C3145" s="152" t="str">
        <f>'Reported burning'!C3145</f>
        <v>Human, deliberate</v>
      </c>
      <c r="D3145" s="152" t="str">
        <f>'Reported burning'!D3145</f>
        <v>Crop residue burning</v>
      </c>
      <c r="E3145" s="152" t="str">
        <f>'Reported burning'!E3145</f>
        <v>Cropping, Intensive</v>
      </c>
      <c r="F3145" s="152" t="str">
        <f>'Reported burning'!F3145</f>
        <v>Cropland</v>
      </c>
      <c r="G3145" s="152" t="str">
        <f>'Reported burning'!G3145</f>
        <v>ND</v>
      </c>
      <c r="H3145" s="152" t="str">
        <f>'Reported burning'!H3145</f>
        <v>Presence</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1" t="s">
        <v>2375</v>
      </c>
      <c r="X3145" s="204" t="s">
        <v>38</v>
      </c>
      <c r="Y3145" s="204" t="s">
        <v>35</v>
      </c>
      <c r="Z3145" s="204" t="s">
        <v>76</v>
      </c>
      <c r="AA3145" s="204"/>
      <c r="AB3145" s="204"/>
    </row>
    <row r="3146" spans="1:28" ht="29" customHeight="1">
      <c r="A3146" s="152" t="str">
        <f>'Reported burning'!A3146</f>
        <v>340c</v>
      </c>
      <c r="B3146" s="152" t="str">
        <f>'Reported burning'!B3146</f>
        <v>340c.4</v>
      </c>
      <c r="C3146" s="152" t="str">
        <f>'Reported burning'!C3146</f>
        <v>Human, deliberate</v>
      </c>
      <c r="D3146" s="152" t="str">
        <f>'Reported burning'!D3146</f>
        <v>Crop residue burning</v>
      </c>
      <c r="E3146" s="152" t="str">
        <f>'Reported burning'!E3146</f>
        <v>Cropping, Intensive</v>
      </c>
      <c r="F3146" s="152" t="str">
        <f>'Reported burning'!F3146</f>
        <v>Cropland</v>
      </c>
      <c r="G3146" s="152" t="str">
        <f>'Reported burning'!G3146</f>
        <v>ND</v>
      </c>
      <c r="H3146" s="152" t="str">
        <f>'Reported burning'!H3146</f>
        <v>Presence</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1" t="s">
        <v>2375</v>
      </c>
      <c r="X3146" s="204" t="s">
        <v>38</v>
      </c>
      <c r="Y3146" s="204" t="s">
        <v>35</v>
      </c>
      <c r="Z3146" s="204" t="s">
        <v>76</v>
      </c>
      <c r="AA3146" s="204"/>
      <c r="AB3146" s="204"/>
    </row>
    <row r="3147" spans="1:28" ht="29" customHeight="1">
      <c r="A3147" s="152" t="str">
        <f>'Reported burning'!A3147</f>
        <v>340c</v>
      </c>
      <c r="B3147" s="152" t="str">
        <f>'Reported burning'!B3147</f>
        <v>340c.5</v>
      </c>
      <c r="C3147" s="152" t="str">
        <f>'Reported burning'!C3147</f>
        <v>Human, deliberate</v>
      </c>
      <c r="D3147" s="152" t="str">
        <f>'Reported burning'!D3147</f>
        <v>Crop residue burning</v>
      </c>
      <c r="E3147" s="152" t="str">
        <f>'Reported burning'!E3147</f>
        <v>Cropping, Intensive</v>
      </c>
      <c r="F3147" s="152" t="str">
        <f>'Reported burning'!F3147</f>
        <v>Cropland</v>
      </c>
      <c r="G3147" s="152" t="str">
        <f>'Reported burning'!G3147</f>
        <v>ND</v>
      </c>
      <c r="H3147" s="152" t="str">
        <f>'Reported burning'!H3147</f>
        <v>Presence</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1" t="s">
        <v>2375</v>
      </c>
      <c r="X3147" s="204" t="s">
        <v>38</v>
      </c>
      <c r="Y3147" s="204" t="s">
        <v>35</v>
      </c>
      <c r="Z3147" s="204" t="s">
        <v>76</v>
      </c>
      <c r="AA3147" s="204"/>
      <c r="AB3147" s="204"/>
    </row>
    <row r="3148" spans="1:28" ht="29" customHeight="1">
      <c r="A3148" s="156" t="str">
        <f>'Reported burning'!A3148</f>
        <v>340c</v>
      </c>
      <c r="B3148" s="156" t="str">
        <f>'Reported burning'!B3148</f>
        <v>340c.6</v>
      </c>
      <c r="C3148" s="156" t="str">
        <f>'Reported burning'!C3148</f>
        <v>Human, deliberate</v>
      </c>
      <c r="D3148" s="156" t="str">
        <f>'Reported burning'!D3148</f>
        <v>Crop residue burning</v>
      </c>
      <c r="E3148" s="156" t="str">
        <f>'Reported burning'!E3148</f>
        <v>Cropping, Intensive</v>
      </c>
      <c r="F3148" s="156" t="str">
        <f>'Reported burning'!F3148</f>
        <v>Cropland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04" t="s">
        <v>2276</v>
      </c>
      <c r="Z3148" s="204" t="s">
        <v>2276</v>
      </c>
      <c r="AA3148" s="204"/>
      <c r="AB3148" s="204"/>
    </row>
    <row r="3149" spans="1:28" ht="29" customHeight="1">
      <c r="A3149" s="156" t="str">
        <f>'Reported burning'!A3149</f>
        <v>340b</v>
      </c>
      <c r="B3149" s="156" t="str">
        <f>'Reported burning'!B3149</f>
        <v>340b.1</v>
      </c>
      <c r="C3149" s="156" t="str">
        <f>'Reported burning'!C3149</f>
        <v>Human, deliberate</v>
      </c>
      <c r="D3149" s="156" t="str">
        <f>'Reported burning'!D3149</f>
        <v>Crop residue burning</v>
      </c>
      <c r="E3149" s="156" t="str">
        <f>'Reported burning'!E3149</f>
        <v>Cropping, Intensive</v>
      </c>
      <c r="F3149" s="156" t="str">
        <f>'Reported burning'!F3149</f>
        <v>Cropland</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2276</v>
      </c>
      <c r="AA3149" s="204"/>
      <c r="AB3149" s="204"/>
    </row>
    <row r="3150" spans="1:28" ht="29" customHeight="1">
      <c r="A3150" s="156" t="str">
        <f>'Reported burning'!A3150</f>
        <v>340d</v>
      </c>
      <c r="B3150" s="156" t="str">
        <f>'Reported burning'!B3150</f>
        <v>340d.1</v>
      </c>
      <c r="C3150" s="156" t="str">
        <f>'Reported burning'!C3150</f>
        <v>Human, deliberate</v>
      </c>
      <c r="D3150" s="156" t="str">
        <f>'Reported burning'!D3150</f>
        <v>Crop residue burning</v>
      </c>
      <c r="E3150" s="156" t="str">
        <f>'Reported burning'!E3150</f>
        <v>Cropping, Intensive</v>
      </c>
      <c r="F3150" s="156" t="str">
        <f>'Reported burning'!F3150</f>
        <v>Cropland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c r="AB3150" s="204"/>
    </row>
    <row r="3151" spans="1:28">
      <c r="A3151" s="156">
        <f>'Reported burning'!A3151</f>
        <v>0</v>
      </c>
      <c r="B3151" s="156">
        <f>'Reported burning'!B3151</f>
        <v>0</v>
      </c>
      <c r="C3151" s="156">
        <f>'Reported burning'!C3151</f>
        <v>0</v>
      </c>
      <c r="D3151" s="156">
        <f>'Reported burning'!D3151</f>
        <v>0</v>
      </c>
      <c r="E3151" s="156">
        <f>'Reported burning'!E3151</f>
        <v>0</v>
      </c>
      <c r="F3151" s="156">
        <f>'Reported burning'!F3151</f>
        <v>0</v>
      </c>
      <c r="G3151" s="156">
        <f>'Reported burning'!G3151</f>
        <v>0</v>
      </c>
      <c r="H3151" s="156">
        <f>'Reported burning'!H3151</f>
        <v>0</v>
      </c>
      <c r="I3151" s="5"/>
    </row>
    <row r="3152" spans="1:28">
      <c r="A3152" s="156">
        <f>'Reported burning'!A3152</f>
        <v>0</v>
      </c>
      <c r="B3152" s="156">
        <f>'Reported burning'!B3152</f>
        <v>0</v>
      </c>
      <c r="C3152" s="156">
        <f>'Reported burning'!C3152</f>
        <v>0</v>
      </c>
      <c r="D3152" s="156">
        <f>'Reported burning'!D3152</f>
        <v>0</v>
      </c>
      <c r="E3152" s="156">
        <f>'Reported burning'!E3152</f>
        <v>0</v>
      </c>
      <c r="F3152" s="156">
        <f>'Reported burning'!F3152</f>
        <v>0</v>
      </c>
      <c r="G3152" s="156">
        <f>'Reported burning'!G3152</f>
        <v>0</v>
      </c>
      <c r="H3152" s="156">
        <f>'Reported burning'!H3152</f>
        <v>0</v>
      </c>
      <c r="I3152" s="5"/>
    </row>
    <row r="3153" spans="1:9">
      <c r="A3153" s="156">
        <f>'Reported burning'!A3153</f>
        <v>0</v>
      </c>
      <c r="B3153" s="156">
        <f>'Reported burning'!B3153</f>
        <v>0</v>
      </c>
      <c r="C3153" s="156">
        <f>'Reported burning'!C3153</f>
        <v>0</v>
      </c>
      <c r="D3153" s="156">
        <f>'Reported burning'!D3153</f>
        <v>0</v>
      </c>
      <c r="E3153" s="156">
        <f>'Reported burning'!E3153</f>
        <v>0</v>
      </c>
      <c r="F3153" s="156">
        <f>'Reported burning'!F3153</f>
        <v>0</v>
      </c>
      <c r="G3153" s="156">
        <f>'Reported burning'!G3153</f>
        <v>0</v>
      </c>
      <c r="H3153" s="156">
        <f>'Reported burning'!H3153</f>
        <v>0</v>
      </c>
      <c r="I3153" s="5"/>
    </row>
    <row r="3154" spans="1:9">
      <c r="A3154" s="156">
        <f>'Reported burning'!A3154</f>
        <v>0</v>
      </c>
      <c r="B3154" s="156">
        <f>'Reported burning'!B3154</f>
        <v>0</v>
      </c>
      <c r="C3154" s="156">
        <f>'Reported burning'!C3154</f>
        <v>0</v>
      </c>
      <c r="D3154" s="156">
        <f>'Reported burning'!D3154</f>
        <v>0</v>
      </c>
      <c r="E3154" s="156">
        <f>'Reported burning'!E3154</f>
        <v>0</v>
      </c>
      <c r="F3154" s="156">
        <f>'Reported burning'!F3154</f>
        <v>0</v>
      </c>
      <c r="G3154" s="156">
        <f>'Reported burning'!G3154</f>
        <v>0</v>
      </c>
      <c r="H3154" s="156">
        <f>'Reported burning'!H3154</f>
        <v>0</v>
      </c>
      <c r="I3154" s="5"/>
    </row>
    <row r="3155" spans="1:9">
      <c r="A3155" s="156">
        <f>'Reported burning'!A3155</f>
        <v>0</v>
      </c>
      <c r="B3155" s="156">
        <f>'Reported burning'!B3155</f>
        <v>0</v>
      </c>
      <c r="C3155" s="156">
        <f>'Reported burning'!C3155</f>
        <v>0</v>
      </c>
      <c r="D3155" s="156">
        <f>'Reported burning'!D3155</f>
        <v>0</v>
      </c>
      <c r="E3155" s="156">
        <f>'Reported burning'!E3155</f>
        <v>0</v>
      </c>
      <c r="F3155" s="156">
        <f>'Reported burning'!F3155</f>
        <v>0</v>
      </c>
      <c r="G3155" s="156">
        <f>'Reported burning'!G3155</f>
        <v>0</v>
      </c>
      <c r="H3155" s="156">
        <f>'Reported burning'!H3155</f>
        <v>0</v>
      </c>
      <c r="I3155" s="5"/>
    </row>
    <row r="3156" spans="1:9">
      <c r="A3156" s="156">
        <f>'Reported burning'!A3156</f>
        <v>0</v>
      </c>
      <c r="B3156" s="156">
        <f>'Reported burning'!B3156</f>
        <v>0</v>
      </c>
      <c r="C3156" s="156">
        <f>'Reported burning'!C3156</f>
        <v>0</v>
      </c>
      <c r="D3156" s="156">
        <f>'Reported burning'!D3156</f>
        <v>0</v>
      </c>
      <c r="E3156" s="156">
        <f>'Reported burning'!E3156</f>
        <v>0</v>
      </c>
      <c r="F3156" s="156">
        <f>'Reported burning'!F3156</f>
        <v>0</v>
      </c>
      <c r="G3156" s="156">
        <f>'Reported burning'!G3156</f>
        <v>0</v>
      </c>
      <c r="H3156" s="156">
        <f>'Reported burning'!H3156</f>
        <v>0</v>
      </c>
      <c r="I3156" s="5"/>
    </row>
    <row r="3157" spans="1:9">
      <c r="A3157" s="156">
        <f>'Reported burning'!A3157</f>
        <v>0</v>
      </c>
      <c r="B3157" s="156">
        <f>'Reported burning'!B3157</f>
        <v>0</v>
      </c>
      <c r="C3157" s="156">
        <f>'Reported burning'!C3157</f>
        <v>0</v>
      </c>
      <c r="D3157" s="156">
        <f>'Reported burning'!D3157</f>
        <v>0</v>
      </c>
      <c r="E3157" s="156">
        <f>'Reported burning'!E3157</f>
        <v>0</v>
      </c>
      <c r="F3157" s="156">
        <f>'Reported burning'!F3157</f>
        <v>0</v>
      </c>
      <c r="G3157" s="156">
        <f>'Reported burning'!G3157</f>
        <v>0</v>
      </c>
      <c r="H3157" s="156">
        <f>'Reported burning'!H3157</f>
        <v>0</v>
      </c>
      <c r="I3157" s="5"/>
    </row>
    <row r="3158" spans="1:9">
      <c r="A3158" s="156">
        <f>'Reported burning'!A3158</f>
        <v>0</v>
      </c>
      <c r="B3158" s="156">
        <f>'Reported burning'!B3158</f>
        <v>0</v>
      </c>
      <c r="C3158" s="156">
        <f>'Reported burning'!C3158</f>
        <v>0</v>
      </c>
      <c r="D3158" s="156">
        <f>'Reported burning'!D3158</f>
        <v>0</v>
      </c>
      <c r="E3158" s="156">
        <f>'Reported burning'!E3158</f>
        <v>0</v>
      </c>
      <c r="F3158" s="156">
        <f>'Reported burning'!F3158</f>
        <v>0</v>
      </c>
      <c r="G3158" s="156">
        <f>'Reported burning'!G3158</f>
        <v>0</v>
      </c>
      <c r="H3158" s="156">
        <f>'Reported burning'!H3158</f>
        <v>0</v>
      </c>
      <c r="I3158" s="5"/>
    </row>
    <row r="3159" spans="1:9">
      <c r="A3159" s="156">
        <f>'Reported burning'!A3159</f>
        <v>0</v>
      </c>
      <c r="B3159" s="156">
        <f>'Reported burning'!B3159</f>
        <v>0</v>
      </c>
      <c r="C3159" s="156">
        <f>'Reported burning'!C3159</f>
        <v>0</v>
      </c>
      <c r="D3159" s="156">
        <f>'Reported burning'!D3159</f>
        <v>0</v>
      </c>
      <c r="E3159" s="156">
        <f>'Reported burning'!E3159</f>
        <v>0</v>
      </c>
      <c r="F3159" s="156">
        <f>'Reported burning'!F3159</f>
        <v>0</v>
      </c>
      <c r="G3159" s="156">
        <f>'Reported burning'!G3159</f>
        <v>0</v>
      </c>
      <c r="H3159" s="156">
        <f>'Reported burning'!H3159</f>
        <v>0</v>
      </c>
      <c r="I3159" s="5"/>
    </row>
    <row r="3160" spans="1:9">
      <c r="A3160" s="156">
        <f>'Reported burning'!A3160</f>
        <v>0</v>
      </c>
      <c r="B3160" s="156">
        <f>'Reported burning'!B3160</f>
        <v>0</v>
      </c>
      <c r="C3160" s="156">
        <f>'Reported burning'!C3160</f>
        <v>0</v>
      </c>
      <c r="D3160" s="156">
        <f>'Reported burning'!D3160</f>
        <v>0</v>
      </c>
      <c r="E3160" s="156">
        <f>'Reported burning'!E3160</f>
        <v>0</v>
      </c>
      <c r="F3160" s="156">
        <f>'Reported burning'!F3160</f>
        <v>0</v>
      </c>
      <c r="G3160" s="156">
        <f>'Reported burning'!G3160</f>
        <v>0</v>
      </c>
      <c r="H3160" s="156">
        <f>'Reported burning'!H3160</f>
        <v>0</v>
      </c>
      <c r="I3160" s="5"/>
    </row>
    <row r="3161" spans="1:9">
      <c r="A3161" s="156">
        <f>'Reported burning'!A3161</f>
        <v>0</v>
      </c>
      <c r="B3161" s="156">
        <f>'Reported burning'!B3161</f>
        <v>0</v>
      </c>
      <c r="C3161" s="156">
        <f>'Reported burning'!C3161</f>
        <v>0</v>
      </c>
      <c r="D3161" s="156">
        <f>'Reported burning'!D3161</f>
        <v>0</v>
      </c>
      <c r="E3161" s="156">
        <f>'Reported burning'!E3161</f>
        <v>0</v>
      </c>
      <c r="F3161" s="156">
        <f>'Reported burning'!F3161</f>
        <v>0</v>
      </c>
      <c r="G3161" s="156">
        <f>'Reported burning'!G3161</f>
        <v>0</v>
      </c>
      <c r="H3161" s="156">
        <f>'Reported burning'!H3161</f>
        <v>0</v>
      </c>
      <c r="I3161" s="5"/>
    </row>
    <row r="3162" spans="1:9">
      <c r="A3162" s="156">
        <f>'Reported burning'!A3162</f>
        <v>0</v>
      </c>
      <c r="B3162" s="156">
        <f>'Reported burning'!B3162</f>
        <v>0</v>
      </c>
      <c r="C3162" s="156">
        <f>'Reported burning'!C3162</f>
        <v>0</v>
      </c>
      <c r="D3162" s="156">
        <f>'Reported burning'!D3162</f>
        <v>0</v>
      </c>
      <c r="E3162" s="156">
        <f>'Reported burning'!E3162</f>
        <v>0</v>
      </c>
      <c r="F3162" s="156">
        <f>'Reported burning'!F3162</f>
        <v>0</v>
      </c>
      <c r="G3162" s="156">
        <f>'Reported burning'!G3162</f>
        <v>0</v>
      </c>
      <c r="H3162" s="156">
        <f>'Reported burning'!H3162</f>
        <v>0</v>
      </c>
      <c r="I3162" s="5"/>
    </row>
    <row r="3163" spans="1:9">
      <c r="A3163" s="156">
        <f>'Reported burning'!A3163</f>
        <v>0</v>
      </c>
      <c r="B3163" s="156">
        <f>'Reported burning'!B3163</f>
        <v>0</v>
      </c>
      <c r="C3163" s="156">
        <f>'Reported burning'!C3163</f>
        <v>0</v>
      </c>
      <c r="D3163" s="156">
        <f>'Reported burning'!D3163</f>
        <v>0</v>
      </c>
      <c r="E3163" s="156">
        <f>'Reported burning'!E3163</f>
        <v>0</v>
      </c>
      <c r="F3163" s="156">
        <f>'Reported burning'!F3163</f>
        <v>0</v>
      </c>
      <c r="G3163" s="156">
        <f>'Reported burning'!G3163</f>
        <v>0</v>
      </c>
      <c r="H3163" s="156">
        <f>'Reported burning'!H3163</f>
        <v>0</v>
      </c>
      <c r="I3163" s="5"/>
    </row>
    <row r="3164" spans="1:9">
      <c r="A3164" s="156">
        <f>'Reported burning'!A3164</f>
        <v>0</v>
      </c>
      <c r="B3164" s="156">
        <f>'Reported burning'!B3164</f>
        <v>0</v>
      </c>
      <c r="C3164" s="156">
        <f>'Reported burning'!C3164</f>
        <v>0</v>
      </c>
      <c r="D3164" s="156">
        <f>'Reported burning'!D3164</f>
        <v>0</v>
      </c>
      <c r="E3164" s="156">
        <f>'Reported burning'!E3164</f>
        <v>0</v>
      </c>
      <c r="F3164" s="156">
        <f>'Reported burning'!F3164</f>
        <v>0</v>
      </c>
      <c r="G3164" s="156">
        <f>'Reported burning'!G3164</f>
        <v>0</v>
      </c>
      <c r="H3164" s="156">
        <f>'Reported burning'!H3164</f>
        <v>0</v>
      </c>
      <c r="I3164" s="5"/>
    </row>
    <row r="3165" spans="1:9">
      <c r="A3165" s="156">
        <f>'Reported burning'!A3165</f>
        <v>0</v>
      </c>
      <c r="B3165" s="156">
        <f>'Reported burning'!B3165</f>
        <v>0</v>
      </c>
      <c r="C3165" s="156">
        <f>'Reported burning'!C3165</f>
        <v>0</v>
      </c>
      <c r="D3165" s="156">
        <f>'Reported burning'!D3165</f>
        <v>0</v>
      </c>
      <c r="E3165" s="156">
        <f>'Reported burning'!E3165</f>
        <v>0</v>
      </c>
      <c r="F3165" s="156">
        <f>'Reported burning'!F3165</f>
        <v>0</v>
      </c>
      <c r="G3165" s="156">
        <f>'Reported burning'!G3165</f>
        <v>0</v>
      </c>
      <c r="H3165" s="156">
        <f>'Reported burning'!H3165</f>
        <v>0</v>
      </c>
      <c r="I3165" s="5"/>
    </row>
    <row r="3166" spans="1:9">
      <c r="A3166" s="156">
        <f>'Reported burning'!A3166</f>
        <v>0</v>
      </c>
      <c r="B3166" s="156">
        <f>'Reported burning'!B3166</f>
        <v>0</v>
      </c>
      <c r="C3166" s="156">
        <f>'Reported burning'!C3166</f>
        <v>0</v>
      </c>
      <c r="D3166" s="156">
        <f>'Reported burning'!D3166</f>
        <v>0</v>
      </c>
      <c r="E3166" s="156">
        <f>'Reported burning'!E3166</f>
        <v>0</v>
      </c>
      <c r="F3166" s="156">
        <f>'Reported burning'!F3166</f>
        <v>0</v>
      </c>
      <c r="G3166" s="156">
        <f>'Reported burning'!G3166</f>
        <v>0</v>
      </c>
      <c r="H3166" s="156">
        <f>'Reported burning'!H3166</f>
        <v>0</v>
      </c>
      <c r="I3166" s="5"/>
    </row>
    <row r="3167" spans="1:9">
      <c r="A3167" s="156">
        <f>'Reported burning'!A3167</f>
        <v>0</v>
      </c>
      <c r="B3167" s="156">
        <f>'Reported burning'!B3167</f>
        <v>0</v>
      </c>
      <c r="C3167" s="156">
        <f>'Reported burning'!C3167</f>
        <v>0</v>
      </c>
      <c r="D3167" s="156">
        <f>'Reported burning'!D3167</f>
        <v>0</v>
      </c>
      <c r="E3167" s="156">
        <f>'Reported burning'!E3167</f>
        <v>0</v>
      </c>
      <c r="F3167" s="156">
        <f>'Reported burning'!F3167</f>
        <v>0</v>
      </c>
      <c r="G3167" s="156">
        <f>'Reported burning'!G3167</f>
        <v>0</v>
      </c>
      <c r="H3167" s="156">
        <f>'Reported burning'!H3167</f>
        <v>0</v>
      </c>
      <c r="I3167" s="5"/>
    </row>
    <row r="3168" spans="1:9">
      <c r="A3168" s="156">
        <f>'Reported burning'!A3168</f>
        <v>0</v>
      </c>
      <c r="B3168" s="156">
        <f>'Reported burning'!B3168</f>
        <v>0</v>
      </c>
      <c r="C3168" s="156">
        <f>'Reported burning'!C3168</f>
        <v>0</v>
      </c>
      <c r="D3168" s="156">
        <f>'Reported burning'!D3168</f>
        <v>0</v>
      </c>
      <c r="E3168" s="156">
        <f>'Reported burning'!E3168</f>
        <v>0</v>
      </c>
      <c r="F3168" s="156">
        <f>'Reported burning'!F3168</f>
        <v>0</v>
      </c>
      <c r="G3168" s="156">
        <f>'Reported burning'!G3168</f>
        <v>0</v>
      </c>
      <c r="H3168" s="156">
        <f>'Reported burning'!H3168</f>
        <v>0</v>
      </c>
      <c r="I3168" s="5"/>
    </row>
    <row r="3169" spans="1:9">
      <c r="A3169" s="156">
        <f>'Reported burning'!A3169</f>
        <v>0</v>
      </c>
      <c r="B3169" s="156">
        <f>'Reported burning'!B3169</f>
        <v>0</v>
      </c>
      <c r="C3169" s="156">
        <f>'Reported burning'!C3169</f>
        <v>0</v>
      </c>
      <c r="D3169" s="156">
        <f>'Reported burning'!D3169</f>
        <v>0</v>
      </c>
      <c r="E3169" s="156">
        <f>'Reported burning'!E3169</f>
        <v>0</v>
      </c>
      <c r="F3169" s="156">
        <f>'Reported burning'!F3169</f>
        <v>0</v>
      </c>
      <c r="G3169" s="156">
        <f>'Reported burning'!G3169</f>
        <v>0</v>
      </c>
      <c r="H3169" s="156">
        <f>'Reported burning'!H3169</f>
        <v>0</v>
      </c>
      <c r="I3169" s="5"/>
    </row>
    <row r="3170" spans="1:9">
      <c r="A3170" s="156">
        <f>'Reported burning'!A3170</f>
        <v>0</v>
      </c>
      <c r="B3170" s="156">
        <f>'Reported burning'!B3170</f>
        <v>0</v>
      </c>
      <c r="C3170" s="156">
        <f>'Reported burning'!C3170</f>
        <v>0</v>
      </c>
      <c r="D3170" s="156">
        <f>'Reported burning'!D3170</f>
        <v>0</v>
      </c>
      <c r="E3170" s="156">
        <f>'Reported burning'!E3170</f>
        <v>0</v>
      </c>
      <c r="F3170" s="156">
        <f>'Reported burning'!F3170</f>
        <v>0</v>
      </c>
      <c r="G3170" s="156">
        <f>'Reported burning'!G3170</f>
        <v>0</v>
      </c>
      <c r="H3170" s="156">
        <f>'Reported burning'!H3170</f>
        <v>0</v>
      </c>
      <c r="I3170" s="5"/>
    </row>
    <row r="3171" spans="1:9">
      <c r="A3171" s="156">
        <f>'Reported burning'!A3171</f>
        <v>0</v>
      </c>
      <c r="B3171" s="156">
        <f>'Reported burning'!B3171</f>
        <v>0</v>
      </c>
      <c r="C3171" s="156">
        <f>'Reported burning'!C3171</f>
        <v>0</v>
      </c>
      <c r="D3171" s="156">
        <f>'Reported burning'!D3171</f>
        <v>0</v>
      </c>
      <c r="E3171" s="156">
        <f>'Reported burning'!E3171</f>
        <v>0</v>
      </c>
      <c r="F3171" s="156">
        <f>'Reported burning'!F3171</f>
        <v>0</v>
      </c>
      <c r="G3171" s="156">
        <f>'Reported burning'!G3171</f>
        <v>0</v>
      </c>
      <c r="H3171" s="156">
        <f>'Reported burning'!H3171</f>
        <v>0</v>
      </c>
      <c r="I3171" s="5"/>
    </row>
    <row r="3172" spans="1:9">
      <c r="A3172" s="156">
        <f>'Reported burning'!A3172</f>
        <v>0</v>
      </c>
      <c r="B3172" s="156">
        <f>'Reported burning'!B3172</f>
        <v>0</v>
      </c>
      <c r="C3172" s="156">
        <f>'Reported burning'!C3172</f>
        <v>0</v>
      </c>
      <c r="D3172" s="156">
        <f>'Reported burning'!D3172</f>
        <v>0</v>
      </c>
      <c r="E3172" s="156">
        <f>'Reported burning'!E3172</f>
        <v>0</v>
      </c>
      <c r="F3172" s="156">
        <f>'Reported burning'!F3172</f>
        <v>0</v>
      </c>
      <c r="G3172" s="156">
        <f>'Reported burning'!G3172</f>
        <v>0</v>
      </c>
      <c r="H3172" s="156">
        <f>'Reported burning'!H3172</f>
        <v>0</v>
      </c>
      <c r="I3172" s="5"/>
    </row>
    <row r="3173" spans="1:9">
      <c r="A3173" s="156">
        <f>'Reported burning'!A3173</f>
        <v>0</v>
      </c>
      <c r="B3173" s="156">
        <f>'Reported burning'!B3173</f>
        <v>0</v>
      </c>
      <c r="C3173" s="156">
        <f>'Reported burning'!C3173</f>
        <v>0</v>
      </c>
      <c r="D3173" s="156">
        <f>'Reported burning'!D3173</f>
        <v>0</v>
      </c>
      <c r="E3173" s="156">
        <f>'Reported burning'!E3173</f>
        <v>0</v>
      </c>
      <c r="F3173" s="156">
        <f>'Reported burning'!F3173</f>
        <v>0</v>
      </c>
      <c r="G3173" s="156">
        <f>'Reported burning'!G3173</f>
        <v>0</v>
      </c>
      <c r="H3173" s="156">
        <f>'Reported burning'!H3173</f>
        <v>0</v>
      </c>
      <c r="I3173" s="5"/>
    </row>
    <row r="3174" spans="1:9">
      <c r="A3174" s="156">
        <f>'Reported burning'!A3174</f>
        <v>0</v>
      </c>
      <c r="B3174" s="156">
        <f>'Reported burning'!B3174</f>
        <v>0</v>
      </c>
      <c r="C3174" s="156">
        <f>'Reported burning'!C3174</f>
        <v>0</v>
      </c>
      <c r="D3174" s="156">
        <f>'Reported burning'!D3174</f>
        <v>0</v>
      </c>
      <c r="E3174" s="156">
        <f>'Reported burning'!E3174</f>
        <v>0</v>
      </c>
      <c r="F3174" s="156">
        <f>'Reported burning'!F3174</f>
        <v>0</v>
      </c>
      <c r="G3174" s="156">
        <f>'Reported burning'!G3174</f>
        <v>0</v>
      </c>
      <c r="H3174" s="156">
        <f>'Reported burning'!H3174</f>
        <v>0</v>
      </c>
      <c r="I3174" s="5"/>
    </row>
    <row r="3175" spans="1:9">
      <c r="A3175" s="156">
        <f>'Reported burning'!A3175</f>
        <v>0</v>
      </c>
      <c r="B3175" s="156">
        <f>'Reported burning'!B3175</f>
        <v>0</v>
      </c>
      <c r="C3175" s="156">
        <f>'Reported burning'!C3175</f>
        <v>0</v>
      </c>
      <c r="D3175" s="156">
        <f>'Reported burning'!D3175</f>
        <v>0</v>
      </c>
      <c r="E3175" s="156">
        <f>'Reported burning'!E3175</f>
        <v>0</v>
      </c>
      <c r="F3175" s="156">
        <f>'Reported burning'!F3175</f>
        <v>0</v>
      </c>
      <c r="G3175" s="156">
        <f>'Reported burning'!G3175</f>
        <v>0</v>
      </c>
      <c r="H3175" s="156">
        <f>'Reported burning'!H3175</f>
        <v>0</v>
      </c>
      <c r="I3175" s="5"/>
    </row>
    <row r="3176" spans="1:9">
      <c r="A3176" s="156">
        <f>'Reported burning'!A3176</f>
        <v>0</v>
      </c>
      <c r="B3176" s="156">
        <f>'Reported burning'!B3176</f>
        <v>0</v>
      </c>
      <c r="C3176" s="156">
        <f>'Reported burning'!C3176</f>
        <v>0</v>
      </c>
      <c r="D3176" s="156">
        <f>'Reported burning'!D3176</f>
        <v>0</v>
      </c>
      <c r="E3176" s="156">
        <f>'Reported burning'!E3176</f>
        <v>0</v>
      </c>
      <c r="F3176" s="156">
        <f>'Reported burning'!F3176</f>
        <v>0</v>
      </c>
      <c r="G3176" s="156">
        <f>'Reported burning'!G3176</f>
        <v>0</v>
      </c>
      <c r="H3176" s="156">
        <f>'Reported burning'!H3176</f>
        <v>0</v>
      </c>
      <c r="I3176" s="5"/>
    </row>
    <row r="3177" spans="1:9">
      <c r="A3177" s="156">
        <f>'Reported burning'!A3177</f>
        <v>0</v>
      </c>
      <c r="B3177" s="156">
        <f>'Reported burning'!B3177</f>
        <v>0</v>
      </c>
      <c r="C3177" s="156">
        <f>'Reported burning'!C3177</f>
        <v>0</v>
      </c>
      <c r="D3177" s="156">
        <f>'Reported burning'!D3177</f>
        <v>0</v>
      </c>
      <c r="E3177" s="156">
        <f>'Reported burning'!E3177</f>
        <v>0</v>
      </c>
      <c r="F3177" s="156">
        <f>'Reported burning'!F3177</f>
        <v>0</v>
      </c>
      <c r="G3177" s="156">
        <f>'Reported burning'!G3177</f>
        <v>0</v>
      </c>
      <c r="H3177" s="156">
        <f>'Reported burning'!H3177</f>
        <v>0</v>
      </c>
      <c r="I3177" s="5"/>
    </row>
    <row r="3178" spans="1:9">
      <c r="A3178" s="156">
        <f>'Reported burning'!A3178</f>
        <v>0</v>
      </c>
      <c r="B3178" s="156">
        <f>'Reported burning'!B3178</f>
        <v>0</v>
      </c>
      <c r="C3178" s="156">
        <f>'Reported burning'!C3178</f>
        <v>0</v>
      </c>
      <c r="D3178" s="156">
        <f>'Reported burning'!D3178</f>
        <v>0</v>
      </c>
      <c r="E3178" s="156">
        <f>'Reported burning'!E3178</f>
        <v>0</v>
      </c>
      <c r="F3178" s="156">
        <f>'Reported burning'!F3178</f>
        <v>0</v>
      </c>
      <c r="G3178" s="156">
        <f>'Reported burning'!G3178</f>
        <v>0</v>
      </c>
      <c r="H3178" s="156">
        <f>'Reported burning'!H3178</f>
        <v>0</v>
      </c>
      <c r="I3178" s="5"/>
    </row>
    <row r="3179" spans="1:9">
      <c r="A3179" s="156">
        <f>'Reported burning'!A3179</f>
        <v>0</v>
      </c>
      <c r="B3179" s="156">
        <f>'Reported burning'!B3179</f>
        <v>0</v>
      </c>
      <c r="C3179" s="156">
        <f>'Reported burning'!C3179</f>
        <v>0</v>
      </c>
      <c r="D3179" s="156">
        <f>'Reported burning'!D3179</f>
        <v>0</v>
      </c>
      <c r="E3179" s="156">
        <f>'Reported burning'!E3179</f>
        <v>0</v>
      </c>
      <c r="F3179" s="156">
        <f>'Reported burning'!F3179</f>
        <v>0</v>
      </c>
      <c r="G3179" s="156">
        <f>'Reported burning'!G3179</f>
        <v>0</v>
      </c>
      <c r="H3179" s="156">
        <f>'Reported burning'!H3179</f>
        <v>0</v>
      </c>
      <c r="I3179" s="5"/>
    </row>
    <row r="3180" spans="1:9">
      <c r="A3180" s="156">
        <f>'Reported burning'!A3180</f>
        <v>0</v>
      </c>
      <c r="B3180" s="156">
        <f>'Reported burning'!B3180</f>
        <v>0</v>
      </c>
      <c r="C3180" s="156">
        <f>'Reported burning'!C3180</f>
        <v>0</v>
      </c>
      <c r="D3180" s="156">
        <f>'Reported burning'!D3180</f>
        <v>0</v>
      </c>
      <c r="E3180" s="156">
        <f>'Reported burning'!E3180</f>
        <v>0</v>
      </c>
      <c r="F3180" s="156">
        <f>'Reported burning'!F3180</f>
        <v>0</v>
      </c>
      <c r="G3180" s="156">
        <f>'Reported burning'!G3180</f>
        <v>0</v>
      </c>
      <c r="H3180" s="156">
        <f>'Reported burning'!H3180</f>
        <v>0</v>
      </c>
      <c r="I3180" s="5"/>
    </row>
    <row r="3181" spans="1:9">
      <c r="A3181" s="156">
        <f>'Reported burning'!A3181</f>
        <v>0</v>
      </c>
      <c r="B3181" s="156">
        <f>'Reported burning'!B3181</f>
        <v>0</v>
      </c>
      <c r="C3181" s="156">
        <f>'Reported burning'!C3181</f>
        <v>0</v>
      </c>
      <c r="D3181" s="156">
        <f>'Reported burning'!D3181</f>
        <v>0</v>
      </c>
      <c r="E3181" s="156">
        <f>'Reported burning'!E3181</f>
        <v>0</v>
      </c>
      <c r="F3181" s="156">
        <f>'Reported burning'!F3181</f>
        <v>0</v>
      </c>
      <c r="G3181" s="156">
        <f>'Reported burning'!G3181</f>
        <v>0</v>
      </c>
      <c r="H3181" s="156">
        <f>'Reported burning'!H3181</f>
        <v>0</v>
      </c>
      <c r="I3181" s="5"/>
    </row>
    <row r="3182" spans="1:9">
      <c r="A3182" s="156">
        <f>'Reported burning'!A3182</f>
        <v>0</v>
      </c>
      <c r="B3182" s="156">
        <f>'Reported burning'!B3182</f>
        <v>0</v>
      </c>
      <c r="C3182" s="156">
        <f>'Reported burning'!C3182</f>
        <v>0</v>
      </c>
      <c r="D3182" s="156">
        <f>'Reported burning'!D3182</f>
        <v>0</v>
      </c>
      <c r="E3182" s="156">
        <f>'Reported burning'!E3182</f>
        <v>0</v>
      </c>
      <c r="F3182" s="156">
        <f>'Reported burning'!F3182</f>
        <v>0</v>
      </c>
      <c r="G3182" s="156">
        <f>'Reported burning'!G3182</f>
        <v>0</v>
      </c>
      <c r="H3182" s="156">
        <f>'Reported burning'!H3182</f>
        <v>0</v>
      </c>
      <c r="I3182" s="5"/>
    </row>
    <row r="3183" spans="1:9">
      <c r="A3183" s="156">
        <f>'Reported burning'!A3183</f>
        <v>0</v>
      </c>
      <c r="B3183" s="156">
        <f>'Reported burning'!B3183</f>
        <v>0</v>
      </c>
      <c r="C3183" s="156">
        <f>'Reported burning'!C3183</f>
        <v>0</v>
      </c>
      <c r="D3183" s="156">
        <f>'Reported burning'!D3183</f>
        <v>0</v>
      </c>
      <c r="E3183" s="156">
        <f>'Reported burning'!E3183</f>
        <v>0</v>
      </c>
      <c r="F3183" s="156">
        <f>'Reported burning'!F3183</f>
        <v>0</v>
      </c>
      <c r="G3183" s="156">
        <f>'Reported burning'!G3183</f>
        <v>0</v>
      </c>
      <c r="H3183" s="156">
        <f>'Reported burning'!H3183</f>
        <v>0</v>
      </c>
      <c r="I3183" s="5"/>
    </row>
    <row r="3184" spans="1:9">
      <c r="A3184" s="156">
        <f>'Reported burning'!A3184</f>
        <v>0</v>
      </c>
      <c r="B3184" s="156">
        <f>'Reported burning'!B3184</f>
        <v>0</v>
      </c>
      <c r="C3184" s="156">
        <f>'Reported burning'!C3184</f>
        <v>0</v>
      </c>
      <c r="D3184" s="156">
        <f>'Reported burning'!D3184</f>
        <v>0</v>
      </c>
      <c r="E3184" s="156">
        <f>'Reported burning'!E3184</f>
        <v>0</v>
      </c>
      <c r="F3184" s="156">
        <f>'Reported burning'!F3184</f>
        <v>0</v>
      </c>
      <c r="G3184" s="156">
        <f>'Reported burning'!G3184</f>
        <v>0</v>
      </c>
      <c r="H3184" s="156">
        <f>'Reported burning'!H3184</f>
        <v>0</v>
      </c>
      <c r="I3184" s="5"/>
    </row>
    <row r="3185" spans="1:9">
      <c r="A3185" s="156">
        <f>'Reported burning'!A3185</f>
        <v>0</v>
      </c>
      <c r="B3185" s="156">
        <f>'Reported burning'!B3185</f>
        <v>0</v>
      </c>
      <c r="C3185" s="156">
        <f>'Reported burning'!C3185</f>
        <v>0</v>
      </c>
      <c r="D3185" s="156">
        <f>'Reported burning'!D3185</f>
        <v>0</v>
      </c>
      <c r="E3185" s="156">
        <f>'Reported burning'!E3185</f>
        <v>0</v>
      </c>
      <c r="F3185" s="156">
        <f>'Reported burning'!F3185</f>
        <v>0</v>
      </c>
      <c r="G3185" s="156">
        <f>'Reported burning'!G3185</f>
        <v>0</v>
      </c>
      <c r="H3185" s="156">
        <f>'Reported burning'!H3185</f>
        <v>0</v>
      </c>
      <c r="I3185" s="5"/>
    </row>
    <row r="3186" spans="1:9">
      <c r="A3186" s="156">
        <f>'Reported burning'!A3186</f>
        <v>0</v>
      </c>
      <c r="B3186" s="156">
        <f>'Reported burning'!B3186</f>
        <v>0</v>
      </c>
      <c r="C3186" s="156">
        <f>'Reported burning'!C3186</f>
        <v>0</v>
      </c>
      <c r="D3186" s="156">
        <f>'Reported burning'!D3186</f>
        <v>0</v>
      </c>
      <c r="E3186" s="156">
        <f>'Reported burning'!E3186</f>
        <v>0</v>
      </c>
      <c r="F3186" s="156">
        <f>'Reported burning'!F3186</f>
        <v>0</v>
      </c>
      <c r="G3186" s="156">
        <f>'Reported burning'!G3186</f>
        <v>0</v>
      </c>
      <c r="H3186" s="156">
        <f>'Reported burning'!H3186</f>
        <v>0</v>
      </c>
      <c r="I3186" s="5"/>
    </row>
    <row r="3187" spans="1:9">
      <c r="A3187" s="156">
        <f>'Reported burning'!A3187</f>
        <v>0</v>
      </c>
      <c r="B3187" s="156">
        <f>'Reported burning'!B3187</f>
        <v>0</v>
      </c>
      <c r="C3187" s="156">
        <f>'Reported burning'!C3187</f>
        <v>0</v>
      </c>
      <c r="D3187" s="156">
        <f>'Reported burning'!D3187</f>
        <v>0</v>
      </c>
      <c r="E3187" s="156">
        <f>'Reported burning'!E3187</f>
        <v>0</v>
      </c>
      <c r="F3187" s="156">
        <f>'Reported burning'!F3187</f>
        <v>0</v>
      </c>
      <c r="G3187" s="156">
        <f>'Reported burning'!G3187</f>
        <v>0</v>
      </c>
      <c r="H3187" s="156">
        <f>'Reported burning'!H3187</f>
        <v>0</v>
      </c>
      <c r="I3187" s="5"/>
    </row>
    <row r="3188" spans="1:9">
      <c r="A3188" s="156">
        <f>'Reported burning'!A3188</f>
        <v>0</v>
      </c>
      <c r="B3188" s="156">
        <f>'Reported burning'!B3188</f>
        <v>0</v>
      </c>
      <c r="C3188" s="156">
        <f>'Reported burning'!C3188</f>
        <v>0</v>
      </c>
      <c r="D3188" s="156">
        <f>'Reported burning'!D3188</f>
        <v>0</v>
      </c>
      <c r="E3188" s="156">
        <f>'Reported burning'!E3188</f>
        <v>0</v>
      </c>
      <c r="F3188" s="156">
        <f>'Reported burning'!F3188</f>
        <v>0</v>
      </c>
      <c r="G3188" s="156">
        <f>'Reported burning'!G3188</f>
        <v>0</v>
      </c>
      <c r="H3188" s="156">
        <f>'Reported burning'!H3188</f>
        <v>0</v>
      </c>
      <c r="I3188" s="5"/>
    </row>
    <row r="3189" spans="1:9">
      <c r="A3189" s="156">
        <f>'Reported burning'!A3189</f>
        <v>0</v>
      </c>
      <c r="B3189" s="156">
        <f>'Reported burning'!B3189</f>
        <v>0</v>
      </c>
      <c r="C3189" s="156">
        <f>'Reported burning'!C3189</f>
        <v>0</v>
      </c>
      <c r="D3189" s="156">
        <f>'Reported burning'!D3189</f>
        <v>0</v>
      </c>
      <c r="E3189" s="156">
        <f>'Reported burning'!E3189</f>
        <v>0</v>
      </c>
      <c r="F3189" s="156">
        <f>'Reported burning'!F3189</f>
        <v>0</v>
      </c>
      <c r="G3189" s="156">
        <f>'Reported burning'!G3189</f>
        <v>0</v>
      </c>
      <c r="H3189" s="156">
        <f>'Reported burning'!H3189</f>
        <v>0</v>
      </c>
      <c r="I3189" s="5"/>
    </row>
    <row r="3190" spans="1:9">
      <c r="A3190" s="156">
        <f>'Reported burning'!A3190</f>
        <v>0</v>
      </c>
      <c r="B3190" s="156">
        <f>'Reported burning'!B3190</f>
        <v>0</v>
      </c>
      <c r="C3190" s="156">
        <f>'Reported burning'!C3190</f>
        <v>0</v>
      </c>
      <c r="D3190" s="156">
        <f>'Reported burning'!D3190</f>
        <v>0</v>
      </c>
      <c r="E3190" s="156">
        <f>'Reported burning'!E3190</f>
        <v>0</v>
      </c>
      <c r="F3190" s="156">
        <f>'Reported burning'!F3190</f>
        <v>0</v>
      </c>
      <c r="G3190" s="156">
        <f>'Reported burning'!G3190</f>
        <v>0</v>
      </c>
      <c r="H3190" s="156">
        <f>'Reported burning'!H3190</f>
        <v>0</v>
      </c>
      <c r="I3190" s="5"/>
    </row>
    <row r="3191" spans="1:9">
      <c r="A3191" s="156">
        <f>'Reported burning'!A3191</f>
        <v>0</v>
      </c>
      <c r="B3191" s="156">
        <f>'Reported burning'!B3191</f>
        <v>0</v>
      </c>
      <c r="C3191" s="156">
        <f>'Reported burning'!C3191</f>
        <v>0</v>
      </c>
      <c r="D3191" s="156">
        <f>'Reported burning'!D3191</f>
        <v>0</v>
      </c>
      <c r="E3191" s="156">
        <f>'Reported burning'!E3191</f>
        <v>0</v>
      </c>
      <c r="F3191" s="156">
        <f>'Reported burning'!F3191</f>
        <v>0</v>
      </c>
      <c r="G3191" s="156">
        <f>'Reported burning'!G3191</f>
        <v>0</v>
      </c>
      <c r="H3191" s="156">
        <f>'Reported burning'!H3191</f>
        <v>0</v>
      </c>
      <c r="I3191" s="5"/>
    </row>
    <row r="3192" spans="1:9">
      <c r="A3192" s="156">
        <f>'Reported burning'!A3192</f>
        <v>0</v>
      </c>
      <c r="B3192" s="156">
        <f>'Reported burning'!B3192</f>
        <v>0</v>
      </c>
      <c r="C3192" s="156">
        <f>'Reported burning'!C3192</f>
        <v>0</v>
      </c>
      <c r="D3192" s="156">
        <f>'Reported burning'!D3192</f>
        <v>0</v>
      </c>
      <c r="E3192" s="156">
        <f>'Reported burning'!E3192</f>
        <v>0</v>
      </c>
      <c r="F3192" s="156">
        <f>'Reported burning'!F3192</f>
        <v>0</v>
      </c>
      <c r="G3192" s="156">
        <f>'Reported burning'!G3192</f>
        <v>0</v>
      </c>
      <c r="H3192" s="156">
        <f>'Reported burning'!H3192</f>
        <v>0</v>
      </c>
      <c r="I3192" s="5"/>
    </row>
    <row r="3193" spans="1:9">
      <c r="A3193" s="156">
        <f>'Reported burning'!A3193</f>
        <v>0</v>
      </c>
      <c r="B3193" s="156">
        <f>'Reported burning'!B3193</f>
        <v>0</v>
      </c>
      <c r="C3193" s="156">
        <f>'Reported burning'!C3193</f>
        <v>0</v>
      </c>
      <c r="D3193" s="156">
        <f>'Reported burning'!D3193</f>
        <v>0</v>
      </c>
      <c r="E3193" s="156">
        <f>'Reported burning'!E3193</f>
        <v>0</v>
      </c>
      <c r="F3193" s="156">
        <f>'Reported burning'!F3193</f>
        <v>0</v>
      </c>
      <c r="G3193" s="156">
        <f>'Reported burning'!G3193</f>
        <v>0</v>
      </c>
      <c r="H3193" s="156">
        <f>'Reported burning'!H3193</f>
        <v>0</v>
      </c>
      <c r="I3193" s="5"/>
    </row>
    <row r="3194" spans="1:9">
      <c r="A3194" s="156">
        <f>'Reported burning'!A3194</f>
        <v>0</v>
      </c>
      <c r="B3194" s="156">
        <f>'Reported burning'!B3194</f>
        <v>0</v>
      </c>
      <c r="C3194" s="156">
        <f>'Reported burning'!C3194</f>
        <v>0</v>
      </c>
      <c r="D3194" s="156">
        <f>'Reported burning'!D3194</f>
        <v>0</v>
      </c>
      <c r="E3194" s="156">
        <f>'Reported burning'!E3194</f>
        <v>0</v>
      </c>
      <c r="F3194" s="156">
        <f>'Reported burning'!F3194</f>
        <v>0</v>
      </c>
      <c r="G3194" s="156">
        <f>'Reported burning'!G3194</f>
        <v>0</v>
      </c>
      <c r="H3194" s="156">
        <f>'Reported burning'!H3194</f>
        <v>0</v>
      </c>
      <c r="I3194" s="5"/>
    </row>
    <row r="3195" spans="1:9">
      <c r="A3195" s="156">
        <f>'Reported burning'!A3195</f>
        <v>0</v>
      </c>
      <c r="B3195" s="156">
        <f>'Reported burning'!B3195</f>
        <v>0</v>
      </c>
      <c r="C3195" s="156">
        <f>'Reported burning'!C3195</f>
        <v>0</v>
      </c>
      <c r="D3195" s="156">
        <f>'Reported burning'!D3195</f>
        <v>0</v>
      </c>
      <c r="E3195" s="156">
        <f>'Reported burning'!E3195</f>
        <v>0</v>
      </c>
      <c r="F3195" s="156">
        <f>'Reported burning'!F3195</f>
        <v>0</v>
      </c>
      <c r="G3195" s="156">
        <f>'Reported burning'!G3195</f>
        <v>0</v>
      </c>
      <c r="H3195" s="156">
        <f>'Reported burning'!H3195</f>
        <v>0</v>
      </c>
      <c r="I3195" s="5"/>
    </row>
    <row r="3196" spans="1:9">
      <c r="A3196" s="156">
        <f>'Reported burning'!A3196</f>
        <v>0</v>
      </c>
      <c r="B3196" s="156">
        <f>'Reported burning'!B3196</f>
        <v>0</v>
      </c>
      <c r="C3196" s="156">
        <f>'Reported burning'!C3196</f>
        <v>0</v>
      </c>
      <c r="D3196" s="156">
        <f>'Reported burning'!D3196</f>
        <v>0</v>
      </c>
      <c r="E3196" s="156">
        <f>'Reported burning'!E3196</f>
        <v>0</v>
      </c>
      <c r="F3196" s="156">
        <f>'Reported burning'!F3196</f>
        <v>0</v>
      </c>
      <c r="G3196" s="156">
        <f>'Reported burning'!G3196</f>
        <v>0</v>
      </c>
      <c r="H3196" s="156">
        <f>'Reported burning'!H3196</f>
        <v>0</v>
      </c>
      <c r="I3196" s="5"/>
    </row>
    <row r="3197" spans="1:9">
      <c r="A3197" s="156">
        <f>'Reported burning'!A3197</f>
        <v>0</v>
      </c>
      <c r="B3197" s="156">
        <f>'Reported burning'!B3197</f>
        <v>0</v>
      </c>
      <c r="C3197" s="156">
        <f>'Reported burning'!C3197</f>
        <v>0</v>
      </c>
      <c r="D3197" s="156">
        <f>'Reported burning'!D3197</f>
        <v>0</v>
      </c>
      <c r="E3197" s="156">
        <f>'Reported burning'!E3197</f>
        <v>0</v>
      </c>
      <c r="F3197" s="156">
        <f>'Reported burning'!F3197</f>
        <v>0</v>
      </c>
      <c r="G3197" s="156">
        <f>'Reported burning'!G3197</f>
        <v>0</v>
      </c>
      <c r="H3197" s="156">
        <f>'Reported burning'!H3197</f>
        <v>0</v>
      </c>
      <c r="I3197" s="5"/>
    </row>
    <row r="3198" spans="1:9">
      <c r="A3198" s="156">
        <f>'Reported burning'!A3198</f>
        <v>0</v>
      </c>
      <c r="B3198" s="156">
        <f>'Reported burning'!B3198</f>
        <v>0</v>
      </c>
      <c r="C3198" s="156">
        <f>'Reported burning'!C3198</f>
        <v>0</v>
      </c>
      <c r="D3198" s="156">
        <f>'Reported burning'!D3198</f>
        <v>0</v>
      </c>
      <c r="E3198" s="156">
        <f>'Reported burning'!E3198</f>
        <v>0</v>
      </c>
      <c r="F3198" s="156">
        <f>'Reported burning'!F3198</f>
        <v>0</v>
      </c>
      <c r="G3198" s="156">
        <f>'Reported burning'!G3198</f>
        <v>0</v>
      </c>
      <c r="H3198" s="156">
        <f>'Reported burning'!H3198</f>
        <v>0</v>
      </c>
      <c r="I3198" s="5"/>
    </row>
    <row r="3199" spans="1:9">
      <c r="A3199" s="156">
        <f>'Reported burning'!A3199</f>
        <v>0</v>
      </c>
      <c r="B3199" s="156">
        <f>'Reported burning'!B3199</f>
        <v>0</v>
      </c>
      <c r="C3199" s="156">
        <f>'Reported burning'!C3199</f>
        <v>0</v>
      </c>
      <c r="D3199" s="156">
        <f>'Reported burning'!D3199</f>
        <v>0</v>
      </c>
      <c r="E3199" s="156">
        <f>'Reported burning'!E3199</f>
        <v>0</v>
      </c>
      <c r="F3199" s="156">
        <f>'Reported burning'!F3199</f>
        <v>0</v>
      </c>
      <c r="G3199" s="156">
        <f>'Reported burning'!G3199</f>
        <v>0</v>
      </c>
      <c r="H3199" s="156">
        <f>'Reported burning'!H3199</f>
        <v>0</v>
      </c>
      <c r="I3199" s="5"/>
    </row>
    <row r="3200" spans="1:9">
      <c r="A3200" s="156">
        <f>'Reported burning'!A3200</f>
        <v>0</v>
      </c>
      <c r="B3200" s="156">
        <f>'Reported burning'!B3200</f>
        <v>0</v>
      </c>
      <c r="C3200" s="156">
        <f>'Reported burning'!C3200</f>
        <v>0</v>
      </c>
      <c r="D3200" s="156">
        <f>'Reported burning'!D3200</f>
        <v>0</v>
      </c>
      <c r="E3200" s="156">
        <f>'Reported burning'!E3200</f>
        <v>0</v>
      </c>
      <c r="F3200" s="156">
        <f>'Reported burning'!F3200</f>
        <v>0</v>
      </c>
      <c r="G3200" s="156">
        <f>'Reported burning'!G3200</f>
        <v>0</v>
      </c>
      <c r="H3200" s="156">
        <f>'Reported burning'!H3200</f>
        <v>0</v>
      </c>
      <c r="I3200" s="5"/>
    </row>
    <row r="3201" spans="1:9">
      <c r="A3201" s="156">
        <f>'Reported burning'!A3201</f>
        <v>0</v>
      </c>
      <c r="B3201" s="156">
        <f>'Reported burning'!B3201</f>
        <v>0</v>
      </c>
      <c r="C3201" s="156">
        <f>'Reported burning'!C3201</f>
        <v>0</v>
      </c>
      <c r="D3201" s="156">
        <f>'Reported burning'!D3201</f>
        <v>0</v>
      </c>
      <c r="E3201" s="156">
        <f>'Reported burning'!E3201</f>
        <v>0</v>
      </c>
      <c r="F3201" s="156">
        <f>'Reported burning'!F3201</f>
        <v>0</v>
      </c>
      <c r="G3201" s="156">
        <f>'Reported burning'!G3201</f>
        <v>0</v>
      </c>
      <c r="H3201" s="156">
        <f>'Reported burning'!H3201</f>
        <v>0</v>
      </c>
      <c r="I3201" s="5"/>
    </row>
    <row r="3202" spans="1:9">
      <c r="A3202" s="156">
        <f>'Reported burning'!A3202</f>
        <v>0</v>
      </c>
      <c r="B3202" s="156">
        <f>'Reported burning'!B3202</f>
        <v>0</v>
      </c>
      <c r="C3202" s="156">
        <f>'Reported burning'!C3202</f>
        <v>0</v>
      </c>
      <c r="D3202" s="156">
        <f>'Reported burning'!D3202</f>
        <v>0</v>
      </c>
      <c r="E3202" s="156">
        <f>'Reported burning'!E3202</f>
        <v>0</v>
      </c>
      <c r="F3202" s="156">
        <f>'Reported burning'!F3202</f>
        <v>0</v>
      </c>
      <c r="G3202" s="156">
        <f>'Reported burning'!G3202</f>
        <v>0</v>
      </c>
      <c r="H3202" s="156">
        <f>'Reported burning'!H3202</f>
        <v>0</v>
      </c>
      <c r="I3202" s="5"/>
    </row>
    <row r="3203" spans="1:9">
      <c r="A3203" s="156">
        <f>'Reported burning'!A3203</f>
        <v>0</v>
      </c>
      <c r="B3203" s="156">
        <f>'Reported burning'!B3203</f>
        <v>0</v>
      </c>
      <c r="C3203" s="156">
        <f>'Reported burning'!C3203</f>
        <v>0</v>
      </c>
      <c r="D3203" s="156">
        <f>'Reported burning'!D3203</f>
        <v>0</v>
      </c>
      <c r="E3203" s="156">
        <f>'Reported burning'!E3203</f>
        <v>0</v>
      </c>
      <c r="F3203" s="156">
        <f>'Reported burning'!F3203</f>
        <v>0</v>
      </c>
      <c r="G3203" s="156">
        <f>'Reported burning'!G3203</f>
        <v>0</v>
      </c>
      <c r="H3203" s="156">
        <f>'Reported burning'!H3203</f>
        <v>0</v>
      </c>
      <c r="I3203" s="5"/>
    </row>
    <row r="3204" spans="1:9">
      <c r="A3204" s="156">
        <f>'Reported burning'!A3204</f>
        <v>0</v>
      </c>
      <c r="B3204" s="156">
        <f>'Reported burning'!B3204</f>
        <v>0</v>
      </c>
      <c r="C3204" s="156">
        <f>'Reported burning'!C3204</f>
        <v>0</v>
      </c>
      <c r="D3204" s="156">
        <f>'Reported burning'!D3204</f>
        <v>0</v>
      </c>
      <c r="E3204" s="156">
        <f>'Reported burning'!E3204</f>
        <v>0</v>
      </c>
      <c r="F3204" s="156">
        <f>'Reported burning'!F3204</f>
        <v>0</v>
      </c>
      <c r="G3204" s="156">
        <f>'Reported burning'!G3204</f>
        <v>0</v>
      </c>
      <c r="H3204" s="156">
        <f>'Reported burning'!H3204</f>
        <v>0</v>
      </c>
      <c r="I3204" s="5"/>
    </row>
    <row r="3205" spans="1:9">
      <c r="A3205" s="156">
        <f>'Reported burning'!A3205</f>
        <v>0</v>
      </c>
      <c r="B3205" s="156">
        <f>'Reported burning'!B3205</f>
        <v>0</v>
      </c>
      <c r="C3205" s="156">
        <f>'Reported burning'!C3205</f>
        <v>0</v>
      </c>
      <c r="D3205" s="156">
        <f>'Reported burning'!D3205</f>
        <v>0</v>
      </c>
      <c r="E3205" s="156">
        <f>'Reported burning'!E3205</f>
        <v>0</v>
      </c>
      <c r="F3205" s="156">
        <f>'Reported burning'!F3205</f>
        <v>0</v>
      </c>
      <c r="G3205" s="156">
        <f>'Reported burning'!G3205</f>
        <v>0</v>
      </c>
      <c r="H3205" s="156">
        <f>'Reported burning'!H3205</f>
        <v>0</v>
      </c>
      <c r="I3205" s="5"/>
    </row>
    <row r="3206" spans="1:9">
      <c r="A3206" s="156">
        <f>'Reported burning'!A3206</f>
        <v>0</v>
      </c>
      <c r="B3206" s="156">
        <f>'Reported burning'!B3206</f>
        <v>0</v>
      </c>
      <c r="C3206" s="156">
        <f>'Reported burning'!C3206</f>
        <v>0</v>
      </c>
      <c r="D3206" s="156">
        <f>'Reported burning'!D3206</f>
        <v>0</v>
      </c>
      <c r="E3206" s="156">
        <f>'Reported burning'!E3206</f>
        <v>0</v>
      </c>
      <c r="F3206" s="156">
        <f>'Reported burning'!F3206</f>
        <v>0</v>
      </c>
      <c r="G3206" s="156">
        <f>'Reported burning'!G3206</f>
        <v>0</v>
      </c>
      <c r="H3206" s="156">
        <f>'Reported burning'!H3206</f>
        <v>0</v>
      </c>
      <c r="I3206" s="5"/>
    </row>
    <row r="3207" spans="1:9">
      <c r="A3207" s="156">
        <f>'Reported burning'!A3207</f>
        <v>0</v>
      </c>
      <c r="B3207" s="156">
        <f>'Reported burning'!B3207</f>
        <v>0</v>
      </c>
      <c r="C3207" s="156">
        <f>'Reported burning'!C3207</f>
        <v>0</v>
      </c>
      <c r="D3207" s="156">
        <f>'Reported burning'!D3207</f>
        <v>0</v>
      </c>
      <c r="E3207" s="156">
        <f>'Reported burning'!E3207</f>
        <v>0</v>
      </c>
      <c r="F3207" s="156">
        <f>'Reported burning'!F3207</f>
        <v>0</v>
      </c>
      <c r="G3207" s="156">
        <f>'Reported burning'!G3207</f>
        <v>0</v>
      </c>
      <c r="H3207" s="156">
        <f>'Reported burning'!H3207</f>
        <v>0</v>
      </c>
      <c r="I3207" s="5"/>
    </row>
    <row r="3208" spans="1:9">
      <c r="A3208" s="156">
        <f>'Reported burning'!A3208</f>
        <v>0</v>
      </c>
      <c r="B3208" s="156">
        <f>'Reported burning'!B3208</f>
        <v>0</v>
      </c>
      <c r="C3208" s="156">
        <f>'Reported burning'!C3208</f>
        <v>0</v>
      </c>
      <c r="D3208" s="156">
        <f>'Reported burning'!D3208</f>
        <v>0</v>
      </c>
      <c r="E3208" s="156">
        <f>'Reported burning'!E3208</f>
        <v>0</v>
      </c>
      <c r="F3208" s="156">
        <f>'Reported burning'!F3208</f>
        <v>0</v>
      </c>
      <c r="G3208" s="156">
        <f>'Reported burning'!G3208</f>
        <v>0</v>
      </c>
      <c r="H3208" s="156">
        <f>'Reported burning'!H3208</f>
        <v>0</v>
      </c>
      <c r="I3208" s="5"/>
    </row>
    <row r="3209" spans="1:9">
      <c r="A3209" s="156">
        <f>'Reported burning'!A3209</f>
        <v>0</v>
      </c>
      <c r="B3209" s="156">
        <f>'Reported burning'!B3209</f>
        <v>0</v>
      </c>
      <c r="C3209" s="156">
        <f>'Reported burning'!C3209</f>
        <v>0</v>
      </c>
      <c r="D3209" s="156">
        <f>'Reported burning'!D3209</f>
        <v>0</v>
      </c>
      <c r="E3209" s="156">
        <f>'Reported burning'!E3209</f>
        <v>0</v>
      </c>
      <c r="F3209" s="156">
        <f>'Reported burning'!F3209</f>
        <v>0</v>
      </c>
      <c r="G3209" s="156">
        <f>'Reported burning'!G3209</f>
        <v>0</v>
      </c>
      <c r="H3209" s="156">
        <f>'Reported burning'!H3209</f>
        <v>0</v>
      </c>
      <c r="I3209" s="5"/>
    </row>
    <row r="3210" spans="1:9">
      <c r="A3210" s="156">
        <f>'Reported burning'!A3210</f>
        <v>0</v>
      </c>
      <c r="B3210" s="156">
        <f>'Reported burning'!B3210</f>
        <v>0</v>
      </c>
      <c r="C3210" s="156">
        <f>'Reported burning'!C3210</f>
        <v>0</v>
      </c>
      <c r="D3210" s="156">
        <f>'Reported burning'!D3210</f>
        <v>0</v>
      </c>
      <c r="E3210" s="156">
        <f>'Reported burning'!E3210</f>
        <v>0</v>
      </c>
      <c r="F3210" s="156">
        <f>'Reported burning'!F3210</f>
        <v>0</v>
      </c>
      <c r="G3210" s="156">
        <f>'Reported burning'!G3210</f>
        <v>0</v>
      </c>
      <c r="H3210" s="156">
        <f>'Reported burning'!H3210</f>
        <v>0</v>
      </c>
      <c r="I3210" s="5"/>
    </row>
    <row r="3211" spans="1:9">
      <c r="A3211" s="156">
        <f>'Reported burning'!A3211</f>
        <v>0</v>
      </c>
      <c r="B3211" s="156">
        <f>'Reported burning'!B3211</f>
        <v>0</v>
      </c>
      <c r="C3211" s="156">
        <f>'Reported burning'!C3211</f>
        <v>0</v>
      </c>
      <c r="D3211" s="156">
        <f>'Reported burning'!D3211</f>
        <v>0</v>
      </c>
      <c r="E3211" s="156">
        <f>'Reported burning'!E3211</f>
        <v>0</v>
      </c>
      <c r="F3211" s="156">
        <f>'Reported burning'!F3211</f>
        <v>0</v>
      </c>
      <c r="G3211" s="156">
        <f>'Reported burning'!G3211</f>
        <v>0</v>
      </c>
      <c r="H3211" s="156">
        <f>'Reported burning'!H3211</f>
        <v>0</v>
      </c>
      <c r="I3211" s="5"/>
    </row>
    <row r="3212" spans="1:9">
      <c r="A3212" s="156">
        <f>'Reported burning'!A3212</f>
        <v>0</v>
      </c>
      <c r="B3212" s="156">
        <f>'Reported burning'!B3212</f>
        <v>0</v>
      </c>
      <c r="C3212" s="156">
        <f>'Reported burning'!C3212</f>
        <v>0</v>
      </c>
      <c r="D3212" s="156">
        <f>'Reported burning'!D3212</f>
        <v>0</v>
      </c>
      <c r="E3212" s="156">
        <f>'Reported burning'!E3212</f>
        <v>0</v>
      </c>
      <c r="F3212" s="156">
        <f>'Reported burning'!F3212</f>
        <v>0</v>
      </c>
      <c r="G3212" s="156">
        <f>'Reported burning'!G3212</f>
        <v>0</v>
      </c>
      <c r="H3212" s="156">
        <f>'Reported burning'!H3212</f>
        <v>0</v>
      </c>
      <c r="I3212" s="5"/>
    </row>
    <row r="3213" spans="1:9">
      <c r="A3213" s="156">
        <f>'Reported burning'!A3213</f>
        <v>0</v>
      </c>
      <c r="B3213" s="156">
        <f>'Reported burning'!B3213</f>
        <v>0</v>
      </c>
      <c r="C3213" s="156">
        <f>'Reported burning'!C3213</f>
        <v>0</v>
      </c>
      <c r="D3213" s="156">
        <f>'Reported burning'!D3213</f>
        <v>0</v>
      </c>
      <c r="E3213" s="156">
        <f>'Reported burning'!E3213</f>
        <v>0</v>
      </c>
      <c r="F3213" s="156">
        <f>'Reported burning'!F3213</f>
        <v>0</v>
      </c>
      <c r="G3213" s="156">
        <f>'Reported burning'!G3213</f>
        <v>0</v>
      </c>
      <c r="H3213" s="156">
        <f>'Reported burning'!H3213</f>
        <v>0</v>
      </c>
      <c r="I3213" s="5"/>
    </row>
    <row r="3214" spans="1:9">
      <c r="A3214" s="156">
        <f>'Reported burning'!A3214</f>
        <v>0</v>
      </c>
      <c r="B3214" s="156">
        <f>'Reported burning'!B3214</f>
        <v>0</v>
      </c>
      <c r="C3214" s="156">
        <f>'Reported burning'!C3214</f>
        <v>0</v>
      </c>
      <c r="D3214" s="156">
        <f>'Reported burning'!D3214</f>
        <v>0</v>
      </c>
      <c r="E3214" s="156">
        <f>'Reported burning'!E3214</f>
        <v>0</v>
      </c>
      <c r="F3214" s="156">
        <f>'Reported burning'!F3214</f>
        <v>0</v>
      </c>
      <c r="G3214" s="156">
        <f>'Reported burning'!G3214</f>
        <v>0</v>
      </c>
      <c r="H3214" s="156">
        <f>'Reported burning'!H3214</f>
        <v>0</v>
      </c>
      <c r="I3214" s="5"/>
    </row>
    <row r="3215" spans="1:9">
      <c r="A3215" s="156">
        <f>'Reported burning'!A3215</f>
        <v>0</v>
      </c>
      <c r="B3215" s="156">
        <f>'Reported burning'!B3215</f>
        <v>0</v>
      </c>
      <c r="C3215" s="156">
        <f>'Reported burning'!C3215</f>
        <v>0</v>
      </c>
      <c r="D3215" s="156">
        <f>'Reported burning'!D3215</f>
        <v>0</v>
      </c>
      <c r="E3215" s="156">
        <f>'Reported burning'!E3215</f>
        <v>0</v>
      </c>
      <c r="F3215" s="156">
        <f>'Reported burning'!F3215</f>
        <v>0</v>
      </c>
      <c r="G3215" s="156">
        <f>'Reported burning'!G3215</f>
        <v>0</v>
      </c>
      <c r="H3215" s="156">
        <f>'Reported burning'!H3215</f>
        <v>0</v>
      </c>
      <c r="I3215" s="5"/>
    </row>
    <row r="3216" spans="1:9">
      <c r="A3216" s="156">
        <f>'Reported burning'!A3216</f>
        <v>0</v>
      </c>
      <c r="B3216" s="156">
        <f>'Reported burning'!B3216</f>
        <v>0</v>
      </c>
      <c r="C3216" s="156">
        <f>'Reported burning'!C3216</f>
        <v>0</v>
      </c>
      <c r="D3216" s="156">
        <f>'Reported burning'!D3216</f>
        <v>0</v>
      </c>
      <c r="E3216" s="156">
        <f>'Reported burning'!E3216</f>
        <v>0</v>
      </c>
      <c r="F3216" s="156">
        <f>'Reported burning'!F3216</f>
        <v>0</v>
      </c>
      <c r="G3216" s="156">
        <f>'Reported burning'!G3216</f>
        <v>0</v>
      </c>
      <c r="H3216" s="156">
        <f>'Reported burning'!H3216</f>
        <v>0</v>
      </c>
      <c r="I3216" s="5"/>
    </row>
    <row r="3217" spans="1:9">
      <c r="A3217" s="156">
        <f>'Reported burning'!A3217</f>
        <v>0</v>
      </c>
      <c r="B3217" s="156">
        <f>'Reported burning'!B3217</f>
        <v>0</v>
      </c>
      <c r="C3217" s="156">
        <f>'Reported burning'!C3217</f>
        <v>0</v>
      </c>
      <c r="D3217" s="156">
        <f>'Reported burning'!D3217</f>
        <v>0</v>
      </c>
      <c r="E3217" s="156">
        <f>'Reported burning'!E3217</f>
        <v>0</v>
      </c>
      <c r="F3217" s="156">
        <f>'Reported burning'!F3217</f>
        <v>0</v>
      </c>
      <c r="G3217" s="156">
        <f>'Reported burning'!G3217</f>
        <v>0</v>
      </c>
      <c r="H3217" s="156">
        <f>'Reported burning'!H3217</f>
        <v>0</v>
      </c>
      <c r="I3217" s="5"/>
    </row>
    <row r="3218" spans="1:9">
      <c r="A3218" s="156">
        <f>'Reported burning'!A3218</f>
        <v>0</v>
      </c>
      <c r="B3218" s="156">
        <f>'Reported burning'!B3218</f>
        <v>0</v>
      </c>
      <c r="C3218" s="156">
        <f>'Reported burning'!C3218</f>
        <v>0</v>
      </c>
      <c r="D3218" s="156">
        <f>'Reported burning'!D3218</f>
        <v>0</v>
      </c>
      <c r="E3218" s="156">
        <f>'Reported burning'!E3218</f>
        <v>0</v>
      </c>
      <c r="F3218" s="156">
        <f>'Reported burning'!F3218</f>
        <v>0</v>
      </c>
      <c r="G3218" s="156">
        <f>'Reported burning'!G3218</f>
        <v>0</v>
      </c>
      <c r="H3218" s="156">
        <f>'Reported burning'!H3218</f>
        <v>0</v>
      </c>
      <c r="I3218" s="5"/>
    </row>
    <row r="3219" spans="1:9">
      <c r="A3219" s="156">
        <f>'Reported burning'!A3219</f>
        <v>0</v>
      </c>
      <c r="B3219" s="156">
        <f>'Reported burning'!B3219</f>
        <v>0</v>
      </c>
      <c r="C3219" s="156">
        <f>'Reported burning'!C3219</f>
        <v>0</v>
      </c>
      <c r="D3219" s="156">
        <f>'Reported burning'!D3219</f>
        <v>0</v>
      </c>
      <c r="E3219" s="156">
        <f>'Reported burning'!E3219</f>
        <v>0</v>
      </c>
      <c r="F3219" s="156">
        <f>'Reported burning'!F3219</f>
        <v>0</v>
      </c>
      <c r="G3219" s="156">
        <f>'Reported burning'!G3219</f>
        <v>0</v>
      </c>
      <c r="H3219" s="156">
        <f>'Reported burning'!H3219</f>
        <v>0</v>
      </c>
      <c r="I3219" s="5"/>
    </row>
    <row r="3220" spans="1:9">
      <c r="A3220" s="156">
        <f>'Reported burning'!A3220</f>
        <v>0</v>
      </c>
      <c r="B3220" s="156">
        <f>'Reported burning'!B3220</f>
        <v>0</v>
      </c>
      <c r="C3220" s="156">
        <f>'Reported burning'!C3220</f>
        <v>0</v>
      </c>
      <c r="D3220" s="156">
        <f>'Reported burning'!D3220</f>
        <v>0</v>
      </c>
      <c r="E3220" s="156">
        <f>'Reported burning'!E3220</f>
        <v>0</v>
      </c>
      <c r="F3220" s="156">
        <f>'Reported burning'!F3220</f>
        <v>0</v>
      </c>
      <c r="G3220" s="156">
        <f>'Reported burning'!G3220</f>
        <v>0</v>
      </c>
      <c r="H3220" s="156">
        <f>'Reported burning'!H3220</f>
        <v>0</v>
      </c>
      <c r="I3220" s="5"/>
    </row>
    <row r="3221" spans="1:9">
      <c r="A3221" s="156">
        <f>'Reported burning'!A3221</f>
        <v>0</v>
      </c>
      <c r="B3221" s="156">
        <f>'Reported burning'!B3221</f>
        <v>0</v>
      </c>
      <c r="C3221" s="156">
        <f>'Reported burning'!C3221</f>
        <v>0</v>
      </c>
      <c r="D3221" s="156">
        <f>'Reported burning'!D3221</f>
        <v>0</v>
      </c>
      <c r="E3221" s="156">
        <f>'Reported burning'!E3221</f>
        <v>0</v>
      </c>
      <c r="F3221" s="156">
        <f>'Reported burning'!F3221</f>
        <v>0</v>
      </c>
      <c r="G3221" s="156">
        <f>'Reported burning'!G3221</f>
        <v>0</v>
      </c>
      <c r="H3221" s="156">
        <f>'Reported burning'!H3221</f>
        <v>0</v>
      </c>
      <c r="I3221" s="5"/>
    </row>
    <row r="3222" spans="1:9">
      <c r="A3222" s="156">
        <f>'Reported burning'!A3222</f>
        <v>0</v>
      </c>
      <c r="B3222" s="156">
        <f>'Reported burning'!B3222</f>
        <v>0</v>
      </c>
      <c r="C3222" s="156">
        <f>'Reported burning'!C3222</f>
        <v>0</v>
      </c>
      <c r="D3222" s="156">
        <f>'Reported burning'!D3222</f>
        <v>0</v>
      </c>
      <c r="E3222" s="156">
        <f>'Reported burning'!E3222</f>
        <v>0</v>
      </c>
      <c r="F3222" s="156">
        <f>'Reported burning'!F3222</f>
        <v>0</v>
      </c>
      <c r="G3222" s="156">
        <f>'Reported burning'!G3222</f>
        <v>0</v>
      </c>
      <c r="H3222" s="156">
        <f>'Reported burning'!H3222</f>
        <v>0</v>
      </c>
      <c r="I3222" s="5"/>
    </row>
    <row r="3223" spans="1:9">
      <c r="A3223" s="156">
        <f>'Reported burning'!A3223</f>
        <v>0</v>
      </c>
      <c r="B3223" s="156">
        <f>'Reported burning'!B3223</f>
        <v>0</v>
      </c>
      <c r="C3223" s="156">
        <f>'Reported burning'!C3223</f>
        <v>0</v>
      </c>
      <c r="D3223" s="156">
        <f>'Reported burning'!D3223</f>
        <v>0</v>
      </c>
      <c r="E3223" s="156">
        <f>'Reported burning'!E3223</f>
        <v>0</v>
      </c>
      <c r="F3223" s="156">
        <f>'Reported burning'!F3223</f>
        <v>0</v>
      </c>
      <c r="G3223" s="156">
        <f>'Reported burning'!G3223</f>
        <v>0</v>
      </c>
      <c r="H3223" s="156">
        <f>'Reported burning'!H3223</f>
        <v>0</v>
      </c>
      <c r="I3223" s="5"/>
    </row>
    <row r="3224" spans="1:9">
      <c r="A3224" s="156">
        <f>'Reported burning'!A3224</f>
        <v>0</v>
      </c>
      <c r="B3224" s="156">
        <f>'Reported burning'!B3224</f>
        <v>0</v>
      </c>
      <c r="C3224" s="156">
        <f>'Reported burning'!C3224</f>
        <v>0</v>
      </c>
      <c r="D3224" s="156">
        <f>'Reported burning'!D3224</f>
        <v>0</v>
      </c>
      <c r="E3224" s="156">
        <f>'Reported burning'!E3224</f>
        <v>0</v>
      </c>
      <c r="F3224" s="156">
        <f>'Reported burning'!F3224</f>
        <v>0</v>
      </c>
      <c r="G3224" s="156">
        <f>'Reported burning'!G3224</f>
        <v>0</v>
      </c>
      <c r="H3224" s="156">
        <f>'Reported burning'!H3224</f>
        <v>0</v>
      </c>
      <c r="I3224" s="5"/>
    </row>
    <row r="3225" spans="1:9">
      <c r="A3225" s="156">
        <f>'Reported burning'!A3225</f>
        <v>0</v>
      </c>
      <c r="B3225" s="156">
        <f>'Reported burning'!B3225</f>
        <v>0</v>
      </c>
      <c r="C3225" s="156">
        <f>'Reported burning'!C3225</f>
        <v>0</v>
      </c>
      <c r="D3225" s="156">
        <f>'Reported burning'!D3225</f>
        <v>0</v>
      </c>
      <c r="E3225" s="156">
        <f>'Reported burning'!E3225</f>
        <v>0</v>
      </c>
      <c r="F3225" s="156">
        <f>'Reported burning'!F3225</f>
        <v>0</v>
      </c>
      <c r="G3225" s="156">
        <f>'Reported burning'!G3225</f>
        <v>0</v>
      </c>
      <c r="H3225" s="156">
        <f>'Reported burning'!H3225</f>
        <v>0</v>
      </c>
      <c r="I3225" s="5"/>
    </row>
    <row r="3226" spans="1:9">
      <c r="A3226" s="156">
        <f>'Reported burning'!A3226</f>
        <v>0</v>
      </c>
      <c r="B3226" s="156">
        <f>'Reported burning'!B3226</f>
        <v>0</v>
      </c>
      <c r="C3226" s="156">
        <f>'Reported burning'!C3226</f>
        <v>0</v>
      </c>
      <c r="D3226" s="156">
        <f>'Reported burning'!D3226</f>
        <v>0</v>
      </c>
      <c r="E3226" s="156">
        <f>'Reported burning'!E3226</f>
        <v>0</v>
      </c>
      <c r="F3226" s="156">
        <f>'Reported burning'!F3226</f>
        <v>0</v>
      </c>
      <c r="G3226" s="156">
        <f>'Reported burning'!G3226</f>
        <v>0</v>
      </c>
      <c r="H3226" s="156">
        <f>'Reported burning'!H3226</f>
        <v>0</v>
      </c>
      <c r="I3226" s="5"/>
    </row>
    <row r="3227" spans="1:9">
      <c r="A3227" s="156">
        <f>'Reported burning'!A3227</f>
        <v>0</v>
      </c>
      <c r="B3227" s="156">
        <f>'Reported burning'!B3227</f>
        <v>0</v>
      </c>
      <c r="C3227" s="156">
        <f>'Reported burning'!C3227</f>
        <v>0</v>
      </c>
      <c r="D3227" s="156">
        <f>'Reported burning'!D3227</f>
        <v>0</v>
      </c>
      <c r="E3227" s="156">
        <f>'Reported burning'!E3227</f>
        <v>0</v>
      </c>
      <c r="F3227" s="156">
        <f>'Reported burning'!F3227</f>
        <v>0</v>
      </c>
      <c r="G3227" s="156">
        <f>'Reported burning'!G3227</f>
        <v>0</v>
      </c>
      <c r="H3227" s="156">
        <f>'Reported burning'!H3227</f>
        <v>0</v>
      </c>
      <c r="I3227" s="5"/>
    </row>
    <row r="3228" spans="1:9">
      <c r="A3228" s="156">
        <f>'Reported burning'!A3228</f>
        <v>0</v>
      </c>
      <c r="B3228" s="156">
        <f>'Reported burning'!B3228</f>
        <v>0</v>
      </c>
      <c r="C3228" s="156">
        <f>'Reported burning'!C3228</f>
        <v>0</v>
      </c>
      <c r="D3228" s="156">
        <f>'Reported burning'!D3228</f>
        <v>0</v>
      </c>
      <c r="E3228" s="156">
        <f>'Reported burning'!E3228</f>
        <v>0</v>
      </c>
      <c r="F3228" s="156">
        <f>'Reported burning'!F3228</f>
        <v>0</v>
      </c>
      <c r="G3228" s="156">
        <f>'Reported burning'!G3228</f>
        <v>0</v>
      </c>
      <c r="H3228" s="156">
        <f>'Reported burning'!H3228</f>
        <v>0</v>
      </c>
      <c r="I3228" s="5"/>
    </row>
    <row r="3229" spans="1:9">
      <c r="A3229" s="156">
        <f>'Reported burning'!A3229</f>
        <v>0</v>
      </c>
      <c r="B3229" s="156">
        <f>'Reported burning'!B3229</f>
        <v>0</v>
      </c>
      <c r="C3229" s="156">
        <f>'Reported burning'!C3229</f>
        <v>0</v>
      </c>
      <c r="D3229" s="156">
        <f>'Reported burning'!D3229</f>
        <v>0</v>
      </c>
      <c r="E3229" s="156">
        <f>'Reported burning'!E3229</f>
        <v>0</v>
      </c>
      <c r="F3229" s="156">
        <f>'Reported burning'!F3229</f>
        <v>0</v>
      </c>
      <c r="G3229" s="156">
        <f>'Reported burning'!G3229</f>
        <v>0</v>
      </c>
      <c r="H3229" s="156">
        <f>'Reported burning'!H3229</f>
        <v>0</v>
      </c>
      <c r="I3229" s="5"/>
    </row>
    <row r="3230" spans="1:9">
      <c r="A3230" s="156">
        <f>'Reported burning'!A3230</f>
        <v>0</v>
      </c>
      <c r="B3230" s="156">
        <f>'Reported burning'!B3230</f>
        <v>0</v>
      </c>
      <c r="C3230" s="156">
        <f>'Reported burning'!C3230</f>
        <v>0</v>
      </c>
      <c r="D3230" s="156">
        <f>'Reported burning'!D3230</f>
        <v>0</v>
      </c>
      <c r="E3230" s="156">
        <f>'Reported burning'!E3230</f>
        <v>0</v>
      </c>
      <c r="F3230" s="156">
        <f>'Reported burning'!F3230</f>
        <v>0</v>
      </c>
      <c r="G3230" s="156">
        <f>'Reported burning'!G3230</f>
        <v>0</v>
      </c>
      <c r="H3230" s="156">
        <f>'Reported burning'!H3230</f>
        <v>0</v>
      </c>
      <c r="I3230" s="5"/>
    </row>
    <row r="3231" spans="1:9">
      <c r="A3231" s="156">
        <f>'Reported burning'!A3231</f>
        <v>0</v>
      </c>
      <c r="B3231" s="156">
        <f>'Reported burning'!B3231</f>
        <v>0</v>
      </c>
      <c r="C3231" s="156">
        <f>'Reported burning'!C3231</f>
        <v>0</v>
      </c>
      <c r="D3231" s="156">
        <f>'Reported burning'!D3231</f>
        <v>0</v>
      </c>
      <c r="E3231" s="156">
        <f>'Reported burning'!E3231</f>
        <v>0</v>
      </c>
      <c r="F3231" s="156">
        <f>'Reported burning'!F3231</f>
        <v>0</v>
      </c>
      <c r="G3231" s="156">
        <f>'Reported burning'!G3231</f>
        <v>0</v>
      </c>
      <c r="H3231" s="156">
        <f>'Reported burning'!H3231</f>
        <v>0</v>
      </c>
      <c r="I3231" s="5"/>
    </row>
    <row r="3232" spans="1:9">
      <c r="A3232" s="156">
        <f>'Reported burning'!A3232</f>
        <v>0</v>
      </c>
      <c r="B3232" s="156">
        <f>'Reported burning'!B3232</f>
        <v>0</v>
      </c>
      <c r="C3232" s="156">
        <f>'Reported burning'!C3232</f>
        <v>0</v>
      </c>
      <c r="D3232" s="156">
        <f>'Reported burning'!D3232</f>
        <v>0</v>
      </c>
      <c r="E3232" s="156">
        <f>'Reported burning'!E3232</f>
        <v>0</v>
      </c>
      <c r="F3232" s="156">
        <f>'Reported burning'!F3232</f>
        <v>0</v>
      </c>
      <c r="G3232" s="156">
        <f>'Reported burning'!G3232</f>
        <v>0</v>
      </c>
      <c r="H3232" s="156">
        <f>'Reported burning'!H3232</f>
        <v>0</v>
      </c>
      <c r="I3232" s="5"/>
    </row>
    <row r="3233" spans="1:9">
      <c r="A3233" s="156">
        <f>'Reported burning'!A3233</f>
        <v>0</v>
      </c>
      <c r="B3233" s="156">
        <f>'Reported burning'!B3233</f>
        <v>0</v>
      </c>
      <c r="C3233" s="156">
        <f>'Reported burning'!C3233</f>
        <v>0</v>
      </c>
      <c r="D3233" s="156">
        <f>'Reported burning'!D3233</f>
        <v>0</v>
      </c>
      <c r="E3233" s="156">
        <f>'Reported burning'!E3233</f>
        <v>0</v>
      </c>
      <c r="F3233" s="156">
        <f>'Reported burning'!F3233</f>
        <v>0</v>
      </c>
      <c r="G3233" s="156">
        <f>'Reported burning'!G3233</f>
        <v>0</v>
      </c>
      <c r="H3233" s="156">
        <f>'Reported burning'!H3233</f>
        <v>0</v>
      </c>
      <c r="I3233" s="5"/>
    </row>
    <row r="3234" spans="1:9">
      <c r="A3234" s="156">
        <f>'Reported burning'!A3234</f>
        <v>0</v>
      </c>
      <c r="B3234" s="156">
        <f>'Reported burning'!B3234</f>
        <v>0</v>
      </c>
      <c r="C3234" s="156">
        <f>'Reported burning'!C3234</f>
        <v>0</v>
      </c>
      <c r="D3234" s="156">
        <f>'Reported burning'!D3234</f>
        <v>0</v>
      </c>
      <c r="E3234" s="156">
        <f>'Reported burning'!E3234</f>
        <v>0</v>
      </c>
      <c r="F3234" s="156">
        <f>'Reported burning'!F3234</f>
        <v>0</v>
      </c>
      <c r="G3234" s="156">
        <f>'Reported burning'!G3234</f>
        <v>0</v>
      </c>
      <c r="H3234" s="156">
        <f>'Reported burning'!H3234</f>
        <v>0</v>
      </c>
      <c r="I3234" s="5"/>
    </row>
    <row r="3235" spans="1:9">
      <c r="A3235" s="156">
        <f>'Reported burning'!A3235</f>
        <v>0</v>
      </c>
      <c r="B3235" s="156">
        <f>'Reported burning'!B3235</f>
        <v>0</v>
      </c>
      <c r="C3235" s="156">
        <f>'Reported burning'!C3235</f>
        <v>0</v>
      </c>
      <c r="D3235" s="156">
        <f>'Reported burning'!D3235</f>
        <v>0</v>
      </c>
      <c r="E3235" s="156">
        <f>'Reported burning'!E3235</f>
        <v>0</v>
      </c>
      <c r="F3235" s="156">
        <f>'Reported burning'!F3235</f>
        <v>0</v>
      </c>
      <c r="G3235" s="156">
        <f>'Reported burning'!G3235</f>
        <v>0</v>
      </c>
      <c r="H3235" s="156">
        <f>'Reported burning'!H3235</f>
        <v>0</v>
      </c>
      <c r="I3235" s="5"/>
    </row>
    <row r="3236" spans="1:9">
      <c r="A3236" s="156">
        <f>'Reported burning'!A3236</f>
        <v>0</v>
      </c>
      <c r="B3236" s="156">
        <f>'Reported burning'!B3236</f>
        <v>0</v>
      </c>
      <c r="C3236" s="156">
        <f>'Reported burning'!C3236</f>
        <v>0</v>
      </c>
      <c r="D3236" s="156">
        <f>'Reported burning'!D3236</f>
        <v>0</v>
      </c>
      <c r="E3236" s="156">
        <f>'Reported burning'!E3236</f>
        <v>0</v>
      </c>
      <c r="F3236" s="156">
        <f>'Reported burning'!F3236</f>
        <v>0</v>
      </c>
      <c r="G3236" s="156">
        <f>'Reported burning'!G3236</f>
        <v>0</v>
      </c>
      <c r="H3236" s="156">
        <f>'Reported burning'!H3236</f>
        <v>0</v>
      </c>
      <c r="I3236" s="5"/>
    </row>
    <row r="3237" spans="1:9">
      <c r="A3237" s="156">
        <f>'Reported burning'!A3237</f>
        <v>0</v>
      </c>
      <c r="B3237" s="156">
        <f>'Reported burning'!B3237</f>
        <v>0</v>
      </c>
      <c r="C3237" s="156">
        <f>'Reported burning'!C3237</f>
        <v>0</v>
      </c>
      <c r="D3237" s="156">
        <f>'Reported burning'!D3237</f>
        <v>0</v>
      </c>
      <c r="E3237" s="156">
        <f>'Reported burning'!E3237</f>
        <v>0</v>
      </c>
      <c r="F3237" s="156">
        <f>'Reported burning'!F3237</f>
        <v>0</v>
      </c>
      <c r="G3237" s="156">
        <f>'Reported burning'!G3237</f>
        <v>0</v>
      </c>
      <c r="H3237" s="156">
        <f>'Reported burning'!H3237</f>
        <v>0</v>
      </c>
      <c r="I3237" s="5"/>
    </row>
    <row r="3238" spans="1:9">
      <c r="A3238" s="156">
        <f>'Reported burning'!A3238</f>
        <v>0</v>
      </c>
      <c r="B3238" s="156">
        <f>'Reported burning'!B3238</f>
        <v>0</v>
      </c>
      <c r="C3238" s="156">
        <f>'Reported burning'!C3238</f>
        <v>0</v>
      </c>
      <c r="D3238" s="156">
        <f>'Reported burning'!D3238</f>
        <v>0</v>
      </c>
      <c r="E3238" s="156">
        <f>'Reported burning'!E3238</f>
        <v>0</v>
      </c>
      <c r="F3238" s="156">
        <f>'Reported burning'!F3238</f>
        <v>0</v>
      </c>
      <c r="G3238" s="156">
        <f>'Reported burning'!G3238</f>
        <v>0</v>
      </c>
      <c r="H3238" s="156">
        <f>'Reported burning'!H3238</f>
        <v>0</v>
      </c>
      <c r="I3238" s="5"/>
    </row>
    <row r="3239" spans="1:9">
      <c r="A3239" s="156">
        <f>'Reported burning'!A3239</f>
        <v>0</v>
      </c>
      <c r="B3239" s="156">
        <f>'Reported burning'!B3239</f>
        <v>0</v>
      </c>
      <c r="C3239" s="156">
        <f>'Reported burning'!C3239</f>
        <v>0</v>
      </c>
      <c r="D3239" s="156">
        <f>'Reported burning'!D3239</f>
        <v>0</v>
      </c>
      <c r="E3239" s="156">
        <f>'Reported burning'!E3239</f>
        <v>0</v>
      </c>
      <c r="F3239" s="156">
        <f>'Reported burning'!F3239</f>
        <v>0</v>
      </c>
      <c r="G3239" s="156">
        <f>'Reported burning'!G3239</f>
        <v>0</v>
      </c>
      <c r="H3239" s="156">
        <f>'Reported burning'!H3239</f>
        <v>0</v>
      </c>
      <c r="I3239" s="5"/>
    </row>
    <row r="3240" spans="1:9">
      <c r="A3240" s="156">
        <f>'Reported burning'!A3240</f>
        <v>0</v>
      </c>
      <c r="B3240" s="156">
        <f>'Reported burning'!B3240</f>
        <v>0</v>
      </c>
      <c r="C3240" s="156">
        <f>'Reported burning'!C3240</f>
        <v>0</v>
      </c>
      <c r="D3240" s="156">
        <f>'Reported burning'!D3240</f>
        <v>0</v>
      </c>
      <c r="E3240" s="156">
        <f>'Reported burning'!E3240</f>
        <v>0</v>
      </c>
      <c r="F3240" s="156">
        <f>'Reported burning'!F3240</f>
        <v>0</v>
      </c>
      <c r="G3240" s="156">
        <f>'Reported burning'!G3240</f>
        <v>0</v>
      </c>
      <c r="H3240" s="156">
        <f>'Reported burning'!H3240</f>
        <v>0</v>
      </c>
      <c r="I3240" s="5"/>
    </row>
    <row r="3241" spans="1:9">
      <c r="A3241" s="156">
        <f>'Reported burning'!A3241</f>
        <v>0</v>
      </c>
      <c r="B3241" s="156">
        <f>'Reported burning'!B3241</f>
        <v>0</v>
      </c>
      <c r="C3241" s="156">
        <f>'Reported burning'!C3241</f>
        <v>0</v>
      </c>
      <c r="D3241" s="156">
        <f>'Reported burning'!D3241</f>
        <v>0</v>
      </c>
      <c r="E3241" s="156">
        <f>'Reported burning'!E3241</f>
        <v>0</v>
      </c>
      <c r="F3241" s="156">
        <f>'Reported burning'!F3241</f>
        <v>0</v>
      </c>
      <c r="G3241" s="156">
        <f>'Reported burning'!G3241</f>
        <v>0</v>
      </c>
      <c r="H3241" s="156">
        <f>'Reported burning'!H3241</f>
        <v>0</v>
      </c>
      <c r="I3241" s="5"/>
    </row>
    <row r="3242" spans="1:9">
      <c r="A3242" s="156">
        <f>'Reported burning'!A3242</f>
        <v>0</v>
      </c>
      <c r="B3242" s="156">
        <f>'Reported burning'!B3242</f>
        <v>0</v>
      </c>
      <c r="C3242" s="156">
        <f>'Reported burning'!C3242</f>
        <v>0</v>
      </c>
      <c r="D3242" s="156">
        <f>'Reported burning'!D3242</f>
        <v>0</v>
      </c>
      <c r="E3242" s="156">
        <f>'Reported burning'!E3242</f>
        <v>0</v>
      </c>
      <c r="F3242" s="156">
        <f>'Reported burning'!F3242</f>
        <v>0</v>
      </c>
      <c r="G3242" s="156">
        <f>'Reported burning'!G3242</f>
        <v>0</v>
      </c>
      <c r="H3242" s="156">
        <f>'Reported burning'!H3242</f>
        <v>0</v>
      </c>
      <c r="I3242" s="5"/>
    </row>
    <row r="3243" spans="1:9">
      <c r="A3243" s="156">
        <f>'Reported burning'!A3243</f>
        <v>0</v>
      </c>
      <c r="B3243" s="156">
        <f>'Reported burning'!B3243</f>
        <v>0</v>
      </c>
      <c r="C3243" s="156">
        <f>'Reported burning'!C3243</f>
        <v>0</v>
      </c>
      <c r="D3243" s="156">
        <f>'Reported burning'!D3243</f>
        <v>0</v>
      </c>
      <c r="E3243" s="156">
        <f>'Reported burning'!E3243</f>
        <v>0</v>
      </c>
      <c r="F3243" s="156">
        <f>'Reported burning'!F3243</f>
        <v>0</v>
      </c>
      <c r="G3243" s="156">
        <f>'Reported burning'!G3243</f>
        <v>0</v>
      </c>
      <c r="H3243" s="156">
        <f>'Reported burning'!H3243</f>
        <v>0</v>
      </c>
      <c r="I3243" s="5"/>
    </row>
    <row r="3244" spans="1:9">
      <c r="A3244" s="156">
        <f>'Reported burning'!A3244</f>
        <v>0</v>
      </c>
      <c r="B3244" s="156">
        <f>'Reported burning'!B3244</f>
        <v>0</v>
      </c>
      <c r="C3244" s="156">
        <f>'Reported burning'!C3244</f>
        <v>0</v>
      </c>
      <c r="D3244" s="156">
        <f>'Reported burning'!D3244</f>
        <v>0</v>
      </c>
      <c r="E3244" s="156">
        <f>'Reported burning'!E3244</f>
        <v>0</v>
      </c>
      <c r="F3244" s="156">
        <f>'Reported burning'!F3244</f>
        <v>0</v>
      </c>
      <c r="G3244" s="156">
        <f>'Reported burning'!G3244</f>
        <v>0</v>
      </c>
      <c r="H3244" s="156">
        <f>'Reported burning'!H3244</f>
        <v>0</v>
      </c>
      <c r="I3244" s="5"/>
    </row>
    <row r="3245" spans="1:9">
      <c r="A3245" s="156">
        <f>'Reported burning'!A3245</f>
        <v>0</v>
      </c>
      <c r="B3245" s="156">
        <f>'Reported burning'!B3245</f>
        <v>0</v>
      </c>
      <c r="C3245" s="156">
        <f>'Reported burning'!C3245</f>
        <v>0</v>
      </c>
      <c r="D3245" s="156">
        <f>'Reported burning'!D3245</f>
        <v>0</v>
      </c>
      <c r="E3245" s="156">
        <f>'Reported burning'!E3245</f>
        <v>0</v>
      </c>
      <c r="F3245" s="156">
        <f>'Reported burning'!F3245</f>
        <v>0</v>
      </c>
      <c r="G3245" s="156">
        <f>'Reported burning'!G3245</f>
        <v>0</v>
      </c>
      <c r="H3245" s="156">
        <f>'Reported burning'!H3245</f>
        <v>0</v>
      </c>
      <c r="I3245" s="5"/>
    </row>
    <row r="3246" spans="1:9">
      <c r="A3246" s="156">
        <f>'Reported burning'!A3246</f>
        <v>0</v>
      </c>
      <c r="B3246" s="156">
        <f>'Reported burning'!B3246</f>
        <v>0</v>
      </c>
      <c r="C3246" s="156">
        <f>'Reported burning'!C3246</f>
        <v>0</v>
      </c>
      <c r="D3246" s="156">
        <f>'Reported burning'!D3246</f>
        <v>0</v>
      </c>
      <c r="E3246" s="156">
        <f>'Reported burning'!E3246</f>
        <v>0</v>
      </c>
      <c r="F3246" s="156">
        <f>'Reported burning'!F3246</f>
        <v>0</v>
      </c>
      <c r="G3246" s="156">
        <f>'Reported burning'!G3246</f>
        <v>0</v>
      </c>
      <c r="H3246" s="156">
        <f>'Reported burning'!H3246</f>
        <v>0</v>
      </c>
      <c r="I3246" s="5"/>
    </row>
    <row r="3247" spans="1:9">
      <c r="A3247" s="156">
        <f>'Reported burning'!A3247</f>
        <v>0</v>
      </c>
      <c r="B3247" s="156">
        <f>'Reported burning'!B3247</f>
        <v>0</v>
      </c>
      <c r="C3247" s="156">
        <f>'Reported burning'!C3247</f>
        <v>0</v>
      </c>
      <c r="D3247" s="156">
        <f>'Reported burning'!D3247</f>
        <v>0</v>
      </c>
      <c r="E3247" s="156">
        <f>'Reported burning'!E3247</f>
        <v>0</v>
      </c>
      <c r="F3247" s="156">
        <f>'Reported burning'!F3247</f>
        <v>0</v>
      </c>
      <c r="G3247" s="156">
        <f>'Reported burning'!G3247</f>
        <v>0</v>
      </c>
      <c r="H3247" s="156">
        <f>'Reported burning'!H3247</f>
        <v>0</v>
      </c>
      <c r="I3247" s="5"/>
    </row>
    <row r="3248" spans="1:9">
      <c r="A3248" s="156">
        <f>'Reported burning'!A3248</f>
        <v>0</v>
      </c>
      <c r="B3248" s="156">
        <f>'Reported burning'!B3248</f>
        <v>0</v>
      </c>
      <c r="C3248" s="156">
        <f>'Reported burning'!C3248</f>
        <v>0</v>
      </c>
      <c r="D3248" s="156">
        <f>'Reported burning'!D3248</f>
        <v>0</v>
      </c>
      <c r="E3248" s="156">
        <f>'Reported burning'!E3248</f>
        <v>0</v>
      </c>
      <c r="F3248" s="156">
        <f>'Reported burning'!F3248</f>
        <v>0</v>
      </c>
      <c r="G3248" s="156">
        <f>'Reported burning'!G3248</f>
        <v>0</v>
      </c>
      <c r="H3248" s="156">
        <f>'Reported burning'!H3248</f>
        <v>0</v>
      </c>
      <c r="I3248" s="5"/>
    </row>
    <row r="3249" spans="1:9">
      <c r="A3249" s="156">
        <f>'Reported burning'!A3249</f>
        <v>0</v>
      </c>
      <c r="B3249" s="156">
        <f>'Reported burning'!B3249</f>
        <v>0</v>
      </c>
      <c r="C3249" s="156">
        <f>'Reported burning'!C3249</f>
        <v>0</v>
      </c>
      <c r="D3249" s="156">
        <f>'Reported burning'!D3249</f>
        <v>0</v>
      </c>
      <c r="E3249" s="156">
        <f>'Reported burning'!E3249</f>
        <v>0</v>
      </c>
      <c r="F3249" s="156">
        <f>'Reported burning'!F3249</f>
        <v>0</v>
      </c>
      <c r="G3249" s="156">
        <f>'Reported burning'!G3249</f>
        <v>0</v>
      </c>
      <c r="H3249" s="156">
        <f>'Reported burning'!H3249</f>
        <v>0</v>
      </c>
      <c r="I3249" s="5"/>
    </row>
    <row r="3250" spans="1:9">
      <c r="A3250" s="156">
        <f>'Reported burning'!A3250</f>
        <v>0</v>
      </c>
      <c r="B3250" s="156">
        <f>'Reported burning'!B3250</f>
        <v>0</v>
      </c>
      <c r="C3250" s="156">
        <f>'Reported burning'!C3250</f>
        <v>0</v>
      </c>
      <c r="D3250" s="156">
        <f>'Reported burning'!D3250</f>
        <v>0</v>
      </c>
      <c r="E3250" s="156">
        <f>'Reported burning'!E3250</f>
        <v>0</v>
      </c>
      <c r="F3250" s="156">
        <f>'Reported burning'!F3250</f>
        <v>0</v>
      </c>
      <c r="G3250" s="156">
        <f>'Reported burning'!G3250</f>
        <v>0</v>
      </c>
      <c r="H3250" s="156">
        <f>'Reported burning'!H3250</f>
        <v>0</v>
      </c>
      <c r="I3250" s="5"/>
    </row>
    <row r="3251" spans="1:9">
      <c r="A3251" s="156">
        <f>'Reported burning'!A3251</f>
        <v>0</v>
      </c>
      <c r="B3251" s="156">
        <f>'Reported burning'!B3251</f>
        <v>0</v>
      </c>
      <c r="C3251" s="156">
        <f>'Reported burning'!C3251</f>
        <v>0</v>
      </c>
      <c r="D3251" s="156">
        <f>'Reported burning'!D3251</f>
        <v>0</v>
      </c>
      <c r="E3251" s="156">
        <f>'Reported burning'!E3251</f>
        <v>0</v>
      </c>
      <c r="F3251" s="156">
        <f>'Reported burning'!F3251</f>
        <v>0</v>
      </c>
      <c r="G3251" s="156">
        <f>'Reported burning'!G3251</f>
        <v>0</v>
      </c>
      <c r="H3251" s="156">
        <f>'Reported burning'!H3251</f>
        <v>0</v>
      </c>
      <c r="I3251" s="5"/>
    </row>
    <row r="3252" spans="1:9">
      <c r="A3252" s="156">
        <f>'Reported burning'!A3252</f>
        <v>0</v>
      </c>
      <c r="B3252" s="156">
        <f>'Reported burning'!B3252</f>
        <v>0</v>
      </c>
      <c r="C3252" s="156">
        <f>'Reported burning'!C3252</f>
        <v>0</v>
      </c>
      <c r="D3252" s="156">
        <f>'Reported burning'!D3252</f>
        <v>0</v>
      </c>
      <c r="E3252" s="156">
        <f>'Reported burning'!E3252</f>
        <v>0</v>
      </c>
      <c r="F3252" s="156">
        <f>'Reported burning'!F3252</f>
        <v>0</v>
      </c>
      <c r="G3252" s="156">
        <f>'Reported burning'!G3252</f>
        <v>0</v>
      </c>
      <c r="H3252" s="156">
        <f>'Reported burning'!H3252</f>
        <v>0</v>
      </c>
      <c r="I3252" s="5"/>
    </row>
    <row r="3253" spans="1:9">
      <c r="A3253" s="156">
        <f>'Reported burning'!A3253</f>
        <v>0</v>
      </c>
      <c r="B3253" s="156">
        <f>'Reported burning'!B3253</f>
        <v>0</v>
      </c>
      <c r="C3253" s="156">
        <f>'Reported burning'!C3253</f>
        <v>0</v>
      </c>
      <c r="D3253" s="156">
        <f>'Reported burning'!D3253</f>
        <v>0</v>
      </c>
      <c r="E3253" s="156">
        <f>'Reported burning'!E3253</f>
        <v>0</v>
      </c>
      <c r="F3253" s="156">
        <f>'Reported burning'!F3253</f>
        <v>0</v>
      </c>
      <c r="G3253" s="156">
        <f>'Reported burning'!G3253</f>
        <v>0</v>
      </c>
      <c r="H3253" s="156">
        <f>'Reported burning'!H3253</f>
        <v>0</v>
      </c>
      <c r="I3253" s="5"/>
    </row>
    <row r="3254" spans="1:9">
      <c r="A3254" s="156">
        <f>'Reported burning'!A3254</f>
        <v>0</v>
      </c>
      <c r="B3254" s="156">
        <f>'Reported burning'!B3254</f>
        <v>0</v>
      </c>
      <c r="C3254" s="156">
        <f>'Reported burning'!C3254</f>
        <v>0</v>
      </c>
      <c r="D3254" s="156">
        <f>'Reported burning'!D3254</f>
        <v>0</v>
      </c>
      <c r="E3254" s="156">
        <f>'Reported burning'!E3254</f>
        <v>0</v>
      </c>
      <c r="F3254" s="156">
        <f>'Reported burning'!F3254</f>
        <v>0</v>
      </c>
      <c r="G3254" s="156">
        <f>'Reported burning'!G3254</f>
        <v>0</v>
      </c>
      <c r="H3254" s="156">
        <f>'Reported burning'!H3254</f>
        <v>0</v>
      </c>
      <c r="I3254" s="5"/>
    </row>
    <row r="3255" spans="1:9">
      <c r="A3255" s="156">
        <f>'Reported burning'!A3255</f>
        <v>0</v>
      </c>
      <c r="B3255" s="156">
        <f>'Reported burning'!B3255</f>
        <v>0</v>
      </c>
      <c r="C3255" s="156">
        <f>'Reported burning'!C3255</f>
        <v>0</v>
      </c>
      <c r="D3255" s="156">
        <f>'Reported burning'!D3255</f>
        <v>0</v>
      </c>
      <c r="E3255" s="156">
        <f>'Reported burning'!E3255</f>
        <v>0</v>
      </c>
      <c r="F3255" s="156">
        <f>'Reported burning'!F3255</f>
        <v>0</v>
      </c>
      <c r="G3255" s="156">
        <f>'Reported burning'!G3255</f>
        <v>0</v>
      </c>
      <c r="H3255" s="156">
        <f>'Reported burning'!H3255</f>
        <v>0</v>
      </c>
      <c r="I3255" s="5"/>
    </row>
    <row r="3256" spans="1:9">
      <c r="A3256" s="156">
        <f>'Reported burning'!A3256</f>
        <v>0</v>
      </c>
      <c r="B3256" s="156">
        <f>'Reported burning'!B3256</f>
        <v>0</v>
      </c>
      <c r="C3256" s="156">
        <f>'Reported burning'!C3256</f>
        <v>0</v>
      </c>
      <c r="D3256" s="156">
        <f>'Reported burning'!D3256</f>
        <v>0</v>
      </c>
      <c r="E3256" s="156">
        <f>'Reported burning'!E3256</f>
        <v>0</v>
      </c>
      <c r="F3256" s="156">
        <f>'Reported burning'!F3256</f>
        <v>0</v>
      </c>
      <c r="G3256" s="156">
        <f>'Reported burning'!G3256</f>
        <v>0</v>
      </c>
      <c r="H3256" s="156">
        <f>'Reported burning'!H3256</f>
        <v>0</v>
      </c>
      <c r="I3256" s="5"/>
    </row>
    <row r="3257" spans="1:9">
      <c r="A3257" s="156">
        <f>'Reported burning'!A3257</f>
        <v>0</v>
      </c>
      <c r="B3257" s="156">
        <f>'Reported burning'!B3257</f>
        <v>0</v>
      </c>
      <c r="C3257" s="156">
        <f>'Reported burning'!C3257</f>
        <v>0</v>
      </c>
      <c r="D3257" s="156">
        <f>'Reported burning'!D3257</f>
        <v>0</v>
      </c>
      <c r="E3257" s="156">
        <f>'Reported burning'!E3257</f>
        <v>0</v>
      </c>
      <c r="F3257" s="156">
        <f>'Reported burning'!F3257</f>
        <v>0</v>
      </c>
      <c r="G3257" s="156">
        <f>'Reported burning'!G3257</f>
        <v>0</v>
      </c>
      <c r="H3257" s="156">
        <f>'Reported burning'!H3257</f>
        <v>0</v>
      </c>
      <c r="I3257" s="5"/>
    </row>
    <row r="3258" spans="1:9">
      <c r="A3258" s="156">
        <f>'Reported burning'!A3258</f>
        <v>0</v>
      </c>
      <c r="B3258" s="156">
        <f>'Reported burning'!B3258</f>
        <v>0</v>
      </c>
      <c r="C3258" s="156">
        <f>'Reported burning'!C3258</f>
        <v>0</v>
      </c>
      <c r="D3258" s="156">
        <f>'Reported burning'!D3258</f>
        <v>0</v>
      </c>
      <c r="E3258" s="156">
        <f>'Reported burning'!E3258</f>
        <v>0</v>
      </c>
      <c r="F3258" s="156">
        <f>'Reported burning'!F3258</f>
        <v>0</v>
      </c>
      <c r="G3258" s="156">
        <f>'Reported burning'!G3258</f>
        <v>0</v>
      </c>
      <c r="H3258" s="156">
        <f>'Reported burning'!H3258</f>
        <v>0</v>
      </c>
      <c r="I3258" s="5"/>
    </row>
    <row r="3259" spans="1:9">
      <c r="A3259" s="156">
        <f>'Reported burning'!A3259</f>
        <v>0</v>
      </c>
      <c r="B3259" s="156">
        <f>'Reported burning'!B3259</f>
        <v>0</v>
      </c>
      <c r="C3259" s="156">
        <f>'Reported burning'!C3259</f>
        <v>0</v>
      </c>
      <c r="D3259" s="156">
        <f>'Reported burning'!D3259</f>
        <v>0</v>
      </c>
      <c r="E3259" s="156">
        <f>'Reported burning'!E3259</f>
        <v>0</v>
      </c>
      <c r="F3259" s="156">
        <f>'Reported burning'!F3259</f>
        <v>0</v>
      </c>
      <c r="G3259" s="156">
        <f>'Reported burning'!G3259</f>
        <v>0</v>
      </c>
      <c r="H3259" s="156">
        <f>'Reported burning'!H3259</f>
        <v>0</v>
      </c>
      <c r="I3259" s="5"/>
    </row>
    <row r="3260" spans="1:9">
      <c r="A3260" s="156">
        <f>'Reported burning'!A3260</f>
        <v>0</v>
      </c>
      <c r="B3260" s="156">
        <f>'Reported burning'!B3260</f>
        <v>0</v>
      </c>
      <c r="C3260" s="156">
        <f>'Reported burning'!C3260</f>
        <v>0</v>
      </c>
      <c r="D3260" s="156">
        <f>'Reported burning'!D3260</f>
        <v>0</v>
      </c>
      <c r="E3260" s="156">
        <f>'Reported burning'!E3260</f>
        <v>0</v>
      </c>
      <c r="F3260" s="156">
        <f>'Reported burning'!F3260</f>
        <v>0</v>
      </c>
      <c r="G3260" s="156">
        <f>'Reported burning'!G3260</f>
        <v>0</v>
      </c>
      <c r="H3260" s="156">
        <f>'Reported burning'!H3260</f>
        <v>0</v>
      </c>
      <c r="I3260" s="5"/>
    </row>
    <row r="3261" spans="1:9">
      <c r="A3261" s="156">
        <f>'Reported burning'!A3261</f>
        <v>0</v>
      </c>
      <c r="B3261" s="156">
        <f>'Reported burning'!B3261</f>
        <v>0</v>
      </c>
      <c r="C3261" s="156">
        <f>'Reported burning'!C3261</f>
        <v>0</v>
      </c>
      <c r="D3261" s="156">
        <f>'Reported burning'!D3261</f>
        <v>0</v>
      </c>
      <c r="E3261" s="156">
        <f>'Reported burning'!E3261</f>
        <v>0</v>
      </c>
      <c r="F3261" s="156">
        <f>'Reported burning'!F3261</f>
        <v>0</v>
      </c>
      <c r="G3261" s="156">
        <f>'Reported burning'!G3261</f>
        <v>0</v>
      </c>
      <c r="H3261" s="156">
        <f>'Reported burning'!H3261</f>
        <v>0</v>
      </c>
      <c r="I3261" s="5"/>
    </row>
    <row r="3262" spans="1:9">
      <c r="A3262" s="156">
        <f>'Reported burning'!A3262</f>
        <v>0</v>
      </c>
      <c r="B3262" s="156">
        <f>'Reported burning'!B3262</f>
        <v>0</v>
      </c>
      <c r="C3262" s="156">
        <f>'Reported burning'!C3262</f>
        <v>0</v>
      </c>
      <c r="D3262" s="156">
        <f>'Reported burning'!D3262</f>
        <v>0</v>
      </c>
      <c r="E3262" s="156">
        <f>'Reported burning'!E3262</f>
        <v>0</v>
      </c>
      <c r="F3262" s="156">
        <f>'Reported burning'!F3262</f>
        <v>0</v>
      </c>
      <c r="G3262" s="156">
        <f>'Reported burning'!G3262</f>
        <v>0</v>
      </c>
      <c r="H3262" s="156">
        <f>'Reported burning'!H3262</f>
        <v>0</v>
      </c>
      <c r="I3262" s="5"/>
    </row>
    <row r="3263" spans="1:9">
      <c r="A3263" s="156">
        <f>'Reported burning'!A3263</f>
        <v>0</v>
      </c>
      <c r="B3263" s="156">
        <f>'Reported burning'!B3263</f>
        <v>0</v>
      </c>
      <c r="C3263" s="156">
        <f>'Reported burning'!C3263</f>
        <v>0</v>
      </c>
      <c r="D3263" s="156">
        <f>'Reported burning'!D3263</f>
        <v>0</v>
      </c>
      <c r="E3263" s="156">
        <f>'Reported burning'!E3263</f>
        <v>0</v>
      </c>
      <c r="F3263" s="156">
        <f>'Reported burning'!F3263</f>
        <v>0</v>
      </c>
      <c r="G3263" s="156">
        <f>'Reported burning'!G3263</f>
        <v>0</v>
      </c>
      <c r="H3263" s="156">
        <f>'Reported burning'!H3263</f>
        <v>0</v>
      </c>
      <c r="I3263" s="5"/>
    </row>
    <row r="3264" spans="1:9">
      <c r="A3264" s="156">
        <f>'Reported burning'!A3264</f>
        <v>0</v>
      </c>
      <c r="B3264" s="156">
        <f>'Reported burning'!B3264</f>
        <v>0</v>
      </c>
      <c r="C3264" s="156">
        <f>'Reported burning'!C3264</f>
        <v>0</v>
      </c>
      <c r="D3264" s="156">
        <f>'Reported burning'!D3264</f>
        <v>0</v>
      </c>
      <c r="E3264" s="156">
        <f>'Reported burning'!E3264</f>
        <v>0</v>
      </c>
      <c r="F3264" s="156">
        <f>'Reported burning'!F3264</f>
        <v>0</v>
      </c>
      <c r="G3264" s="156">
        <f>'Reported burning'!G3264</f>
        <v>0</v>
      </c>
      <c r="H3264" s="156">
        <f>'Reported burning'!H3264</f>
        <v>0</v>
      </c>
      <c r="I3264" s="5"/>
    </row>
    <row r="3265" spans="1:9">
      <c r="A3265" s="156">
        <f>'Reported burning'!A3265</f>
        <v>0</v>
      </c>
      <c r="B3265" s="156">
        <f>'Reported burning'!B3265</f>
        <v>0</v>
      </c>
      <c r="C3265" s="156">
        <f>'Reported burning'!C3265</f>
        <v>0</v>
      </c>
      <c r="D3265" s="156">
        <f>'Reported burning'!D3265</f>
        <v>0</v>
      </c>
      <c r="E3265" s="156">
        <f>'Reported burning'!E3265</f>
        <v>0</v>
      </c>
      <c r="F3265" s="156">
        <f>'Reported burning'!F3265</f>
        <v>0</v>
      </c>
      <c r="G3265" s="156">
        <f>'Reported burning'!G3265</f>
        <v>0</v>
      </c>
      <c r="H3265" s="156">
        <f>'Reported burning'!H3265</f>
        <v>0</v>
      </c>
      <c r="I3265" s="5"/>
    </row>
    <row r="3266" spans="1:9">
      <c r="A3266" s="156">
        <f>'Reported burning'!A3266</f>
        <v>0</v>
      </c>
      <c r="B3266" s="156">
        <f>'Reported burning'!B3266</f>
        <v>0</v>
      </c>
      <c r="C3266" s="156">
        <f>'Reported burning'!C3266</f>
        <v>0</v>
      </c>
      <c r="D3266" s="156">
        <f>'Reported burning'!D3266</f>
        <v>0</v>
      </c>
      <c r="E3266" s="156">
        <f>'Reported burning'!E3266</f>
        <v>0</v>
      </c>
      <c r="F3266" s="156">
        <f>'Reported burning'!F3266</f>
        <v>0</v>
      </c>
      <c r="G3266" s="156">
        <f>'Reported burning'!G3266</f>
        <v>0</v>
      </c>
      <c r="H3266" s="156">
        <f>'Reported burning'!H3266</f>
        <v>0</v>
      </c>
      <c r="I3266" s="5"/>
    </row>
    <row r="3267" spans="1:9">
      <c r="A3267" s="156">
        <f>'Reported burning'!A3267</f>
        <v>0</v>
      </c>
      <c r="B3267" s="156">
        <f>'Reported burning'!B3267</f>
        <v>0</v>
      </c>
      <c r="C3267" s="156">
        <f>'Reported burning'!C3267</f>
        <v>0</v>
      </c>
      <c r="D3267" s="156">
        <f>'Reported burning'!D3267</f>
        <v>0</v>
      </c>
      <c r="E3267" s="156">
        <f>'Reported burning'!E3267</f>
        <v>0</v>
      </c>
      <c r="F3267" s="156">
        <f>'Reported burning'!F3267</f>
        <v>0</v>
      </c>
      <c r="G3267" s="156">
        <f>'Reported burning'!G3267</f>
        <v>0</v>
      </c>
      <c r="H3267" s="156">
        <f>'Reported burning'!H3267</f>
        <v>0</v>
      </c>
      <c r="I3267" s="5"/>
    </row>
    <row r="3268" spans="1:9">
      <c r="A3268" s="156">
        <f>'Reported burning'!A3268</f>
        <v>0</v>
      </c>
      <c r="B3268" s="156">
        <f>'Reported burning'!B3268</f>
        <v>0</v>
      </c>
      <c r="C3268" s="156">
        <f>'Reported burning'!C3268</f>
        <v>0</v>
      </c>
      <c r="D3268" s="156">
        <f>'Reported burning'!D3268</f>
        <v>0</v>
      </c>
      <c r="E3268" s="156">
        <f>'Reported burning'!E3268</f>
        <v>0</v>
      </c>
      <c r="F3268" s="156">
        <f>'Reported burning'!F3268</f>
        <v>0</v>
      </c>
      <c r="G3268" s="156">
        <f>'Reported burning'!G3268</f>
        <v>0</v>
      </c>
      <c r="H3268" s="156">
        <f>'Reported burning'!H3268</f>
        <v>0</v>
      </c>
      <c r="I3268" s="5"/>
    </row>
    <row r="3269" spans="1:9">
      <c r="A3269" s="156">
        <f>'Reported burning'!A3269</f>
        <v>0</v>
      </c>
      <c r="B3269" s="156">
        <f>'Reported burning'!B3269</f>
        <v>0</v>
      </c>
      <c r="C3269" s="156">
        <f>'Reported burning'!C3269</f>
        <v>0</v>
      </c>
      <c r="D3269" s="156">
        <f>'Reported burning'!D3269</f>
        <v>0</v>
      </c>
      <c r="E3269" s="156">
        <f>'Reported burning'!E3269</f>
        <v>0</v>
      </c>
      <c r="F3269" s="156">
        <f>'Reported burning'!F3269</f>
        <v>0</v>
      </c>
      <c r="G3269" s="156">
        <f>'Reported burning'!G3269</f>
        <v>0</v>
      </c>
      <c r="H3269" s="156">
        <f>'Reported burning'!H3269</f>
        <v>0</v>
      </c>
      <c r="I3269" s="5"/>
    </row>
    <row r="3270" spans="1:9">
      <c r="A3270" s="156">
        <f>'Reported burning'!A3270</f>
        <v>0</v>
      </c>
      <c r="B3270" s="156">
        <f>'Reported burning'!B3270</f>
        <v>0</v>
      </c>
      <c r="C3270" s="156">
        <f>'Reported burning'!C3270</f>
        <v>0</v>
      </c>
      <c r="D3270" s="156">
        <f>'Reported burning'!D3270</f>
        <v>0</v>
      </c>
      <c r="E3270" s="156">
        <f>'Reported burning'!E3270</f>
        <v>0</v>
      </c>
      <c r="F3270" s="156">
        <f>'Reported burning'!F3270</f>
        <v>0</v>
      </c>
      <c r="G3270" s="156">
        <f>'Reported burning'!G3270</f>
        <v>0</v>
      </c>
      <c r="H3270" s="156">
        <f>'Reported burning'!H3270</f>
        <v>0</v>
      </c>
      <c r="I3270" s="5"/>
    </row>
    <row r="3271" spans="1:9">
      <c r="A3271" s="156">
        <f>'Reported burning'!A3271</f>
        <v>0</v>
      </c>
      <c r="B3271" s="156">
        <f>'Reported burning'!B3271</f>
        <v>0</v>
      </c>
      <c r="C3271" s="156">
        <f>'Reported burning'!C3271</f>
        <v>0</v>
      </c>
      <c r="D3271" s="156">
        <f>'Reported burning'!D3271</f>
        <v>0</v>
      </c>
      <c r="E3271" s="156">
        <f>'Reported burning'!E3271</f>
        <v>0</v>
      </c>
      <c r="F3271" s="156">
        <f>'Reported burning'!F3271</f>
        <v>0</v>
      </c>
      <c r="G3271" s="156">
        <f>'Reported burning'!G3271</f>
        <v>0</v>
      </c>
      <c r="H3271" s="156">
        <f>'Reported burning'!H3271</f>
        <v>0</v>
      </c>
      <c r="I3271" s="5"/>
    </row>
    <row r="3272" spans="1:9">
      <c r="A3272" s="156">
        <f>'Reported burning'!A3272</f>
        <v>0</v>
      </c>
      <c r="B3272" s="156">
        <f>'Reported burning'!B3272</f>
        <v>0</v>
      </c>
      <c r="C3272" s="156">
        <f>'Reported burning'!C3272</f>
        <v>0</v>
      </c>
      <c r="D3272" s="156">
        <f>'Reported burning'!D3272</f>
        <v>0</v>
      </c>
      <c r="E3272" s="156">
        <f>'Reported burning'!E3272</f>
        <v>0</v>
      </c>
      <c r="F3272" s="156">
        <f>'Reported burning'!F3272</f>
        <v>0</v>
      </c>
      <c r="G3272" s="156">
        <f>'Reported burning'!G3272</f>
        <v>0</v>
      </c>
      <c r="H3272" s="156">
        <f>'Reported burning'!H3272</f>
        <v>0</v>
      </c>
      <c r="I3272" s="5"/>
    </row>
    <row r="3273" spans="1:9">
      <c r="A3273" s="156">
        <f>'Reported burning'!A3273</f>
        <v>0</v>
      </c>
      <c r="B3273" s="156">
        <f>'Reported burning'!B3273</f>
        <v>0</v>
      </c>
      <c r="C3273" s="156">
        <f>'Reported burning'!C3273</f>
        <v>0</v>
      </c>
      <c r="D3273" s="156">
        <f>'Reported burning'!D3273</f>
        <v>0</v>
      </c>
      <c r="E3273" s="156">
        <f>'Reported burning'!E3273</f>
        <v>0</v>
      </c>
      <c r="F3273" s="156">
        <f>'Reported burning'!F3273</f>
        <v>0</v>
      </c>
      <c r="G3273" s="156">
        <f>'Reported burning'!G3273</f>
        <v>0</v>
      </c>
      <c r="H3273" s="156">
        <f>'Reported burning'!H3273</f>
        <v>0</v>
      </c>
      <c r="I3273" s="5"/>
    </row>
    <row r="3274" spans="1:9">
      <c r="A3274" s="156">
        <f>'Reported burning'!A3274</f>
        <v>0</v>
      </c>
      <c r="B3274" s="156">
        <f>'Reported burning'!B3274</f>
        <v>0</v>
      </c>
      <c r="C3274" s="156">
        <f>'Reported burning'!C3274</f>
        <v>0</v>
      </c>
      <c r="D3274" s="156">
        <f>'Reported burning'!D3274</f>
        <v>0</v>
      </c>
      <c r="E3274" s="156">
        <f>'Reported burning'!E3274</f>
        <v>0</v>
      </c>
      <c r="F3274" s="156">
        <f>'Reported burning'!F3274</f>
        <v>0</v>
      </c>
      <c r="G3274" s="156">
        <f>'Reported burning'!G3274</f>
        <v>0</v>
      </c>
      <c r="H3274" s="156">
        <f>'Reported burning'!H3274</f>
        <v>0</v>
      </c>
      <c r="I3274" s="5"/>
    </row>
    <row r="3275" spans="1:9">
      <c r="A3275" s="156">
        <f>'Reported burning'!A3275</f>
        <v>0</v>
      </c>
      <c r="B3275" s="156">
        <f>'Reported burning'!B3275</f>
        <v>0</v>
      </c>
      <c r="C3275" s="156">
        <f>'Reported burning'!C3275</f>
        <v>0</v>
      </c>
      <c r="D3275" s="156">
        <f>'Reported burning'!D3275</f>
        <v>0</v>
      </c>
      <c r="E3275" s="156">
        <f>'Reported burning'!E3275</f>
        <v>0</v>
      </c>
      <c r="F3275" s="156">
        <f>'Reported burning'!F3275</f>
        <v>0</v>
      </c>
      <c r="G3275" s="156">
        <f>'Reported burning'!G3275</f>
        <v>0</v>
      </c>
      <c r="H3275" s="156">
        <f>'Reported burning'!H3275</f>
        <v>0</v>
      </c>
      <c r="I3275" s="5"/>
    </row>
    <row r="3276" spans="1:9">
      <c r="A3276" s="156">
        <f>'Reported burning'!A3276</f>
        <v>0</v>
      </c>
      <c r="B3276" s="156">
        <f>'Reported burning'!B3276</f>
        <v>0</v>
      </c>
      <c r="C3276" s="156">
        <f>'Reported burning'!C3276</f>
        <v>0</v>
      </c>
      <c r="D3276" s="156">
        <f>'Reported burning'!D3276</f>
        <v>0</v>
      </c>
      <c r="E3276" s="156">
        <f>'Reported burning'!E3276</f>
        <v>0</v>
      </c>
      <c r="F3276" s="156">
        <f>'Reported burning'!F3276</f>
        <v>0</v>
      </c>
      <c r="G3276" s="156">
        <f>'Reported burning'!G3276</f>
        <v>0</v>
      </c>
      <c r="H3276" s="156">
        <f>'Reported burning'!H3276</f>
        <v>0</v>
      </c>
      <c r="I3276" s="5"/>
    </row>
    <row r="3277" spans="1:9">
      <c r="A3277" s="156">
        <f>'Reported burning'!A3277</f>
        <v>0</v>
      </c>
      <c r="B3277" s="156">
        <f>'Reported burning'!B3277</f>
        <v>0</v>
      </c>
      <c r="C3277" s="156">
        <f>'Reported burning'!C3277</f>
        <v>0</v>
      </c>
      <c r="D3277" s="156">
        <f>'Reported burning'!D3277</f>
        <v>0</v>
      </c>
      <c r="E3277" s="156">
        <f>'Reported burning'!E3277</f>
        <v>0</v>
      </c>
      <c r="F3277" s="156">
        <f>'Reported burning'!F3277</f>
        <v>0</v>
      </c>
      <c r="G3277" s="156">
        <f>'Reported burning'!G3277</f>
        <v>0</v>
      </c>
      <c r="H3277" s="156">
        <f>'Reported burning'!H3277</f>
        <v>0</v>
      </c>
      <c r="I3277" s="5"/>
    </row>
    <row r="3278" spans="1:9">
      <c r="A3278" s="156">
        <f>'Reported burning'!A3278</f>
        <v>0</v>
      </c>
      <c r="B3278" s="156">
        <f>'Reported burning'!B3278</f>
        <v>0</v>
      </c>
      <c r="C3278" s="156">
        <f>'Reported burning'!C3278</f>
        <v>0</v>
      </c>
      <c r="D3278" s="156">
        <f>'Reported burning'!D3278</f>
        <v>0</v>
      </c>
      <c r="E3278" s="156">
        <f>'Reported burning'!E3278</f>
        <v>0</v>
      </c>
      <c r="F3278" s="156">
        <f>'Reported burning'!F3278</f>
        <v>0</v>
      </c>
      <c r="G3278" s="156">
        <f>'Reported burning'!G3278</f>
        <v>0</v>
      </c>
      <c r="H3278" s="156">
        <f>'Reported burning'!H3278</f>
        <v>0</v>
      </c>
      <c r="I3278" s="5"/>
    </row>
    <row r="3279" spans="1:9">
      <c r="A3279" s="156">
        <f>'Reported burning'!A3279</f>
        <v>0</v>
      </c>
      <c r="B3279" s="156">
        <f>'Reported burning'!B3279</f>
        <v>0</v>
      </c>
      <c r="C3279" s="156">
        <f>'Reported burning'!C3279</f>
        <v>0</v>
      </c>
      <c r="D3279" s="156">
        <f>'Reported burning'!D3279</f>
        <v>0</v>
      </c>
      <c r="E3279" s="156">
        <f>'Reported burning'!E3279</f>
        <v>0</v>
      </c>
      <c r="F3279" s="156">
        <f>'Reported burning'!F3279</f>
        <v>0</v>
      </c>
      <c r="G3279" s="156">
        <f>'Reported burning'!G3279</f>
        <v>0</v>
      </c>
      <c r="H3279" s="156">
        <f>'Reported burning'!H3279</f>
        <v>0</v>
      </c>
      <c r="I3279" s="5"/>
    </row>
    <row r="3280" spans="1:9">
      <c r="A3280" s="156">
        <f>'Reported burning'!A3280</f>
        <v>0</v>
      </c>
      <c r="B3280" s="156">
        <f>'Reported burning'!B3280</f>
        <v>0</v>
      </c>
      <c r="C3280" s="156">
        <f>'Reported burning'!C3280</f>
        <v>0</v>
      </c>
      <c r="D3280" s="156">
        <f>'Reported burning'!D3280</f>
        <v>0</v>
      </c>
      <c r="E3280" s="156">
        <f>'Reported burning'!E3280</f>
        <v>0</v>
      </c>
      <c r="F3280" s="156">
        <f>'Reported burning'!F3280</f>
        <v>0</v>
      </c>
      <c r="G3280" s="156">
        <f>'Reported burning'!G3280</f>
        <v>0</v>
      </c>
      <c r="H3280" s="156">
        <f>'Reported burning'!H3280</f>
        <v>0</v>
      </c>
      <c r="I3280" s="5"/>
    </row>
    <row r="3281" spans="1:9">
      <c r="A3281" s="156">
        <f>'Reported burning'!A3281</f>
        <v>0</v>
      </c>
      <c r="B3281" s="156">
        <f>'Reported burning'!B3281</f>
        <v>0</v>
      </c>
      <c r="C3281" s="156">
        <f>'Reported burning'!C3281</f>
        <v>0</v>
      </c>
      <c r="D3281" s="156">
        <f>'Reported burning'!D3281</f>
        <v>0</v>
      </c>
      <c r="E3281" s="156">
        <f>'Reported burning'!E3281</f>
        <v>0</v>
      </c>
      <c r="F3281" s="156">
        <f>'Reported burning'!F3281</f>
        <v>0</v>
      </c>
      <c r="G3281" s="156">
        <f>'Reported burning'!G3281</f>
        <v>0</v>
      </c>
      <c r="H3281" s="156">
        <f>'Reported burning'!H3281</f>
        <v>0</v>
      </c>
      <c r="I3281" s="5"/>
    </row>
    <row r="3282" spans="1:9">
      <c r="A3282" s="156">
        <f>'Reported burning'!A3282</f>
        <v>0</v>
      </c>
      <c r="B3282" s="156">
        <f>'Reported burning'!B3282</f>
        <v>0</v>
      </c>
      <c r="C3282" s="156">
        <f>'Reported burning'!C3282</f>
        <v>0</v>
      </c>
      <c r="D3282" s="156">
        <f>'Reported burning'!D3282</f>
        <v>0</v>
      </c>
      <c r="E3282" s="156">
        <f>'Reported burning'!E3282</f>
        <v>0</v>
      </c>
      <c r="F3282" s="156">
        <f>'Reported burning'!F3282</f>
        <v>0</v>
      </c>
      <c r="G3282" s="156">
        <f>'Reported burning'!G3282</f>
        <v>0</v>
      </c>
      <c r="H3282" s="156">
        <f>'Reported burning'!H3282</f>
        <v>0</v>
      </c>
      <c r="I3282" s="5"/>
    </row>
    <row r="3283" spans="1:9">
      <c r="A3283" s="156">
        <f>'Reported burning'!A3283</f>
        <v>0</v>
      </c>
      <c r="B3283" s="156">
        <f>'Reported burning'!B3283</f>
        <v>0</v>
      </c>
      <c r="C3283" s="156">
        <f>'Reported burning'!C3283</f>
        <v>0</v>
      </c>
      <c r="D3283" s="156">
        <f>'Reported burning'!D3283</f>
        <v>0</v>
      </c>
      <c r="E3283" s="156">
        <f>'Reported burning'!E3283</f>
        <v>0</v>
      </c>
      <c r="F3283" s="156">
        <f>'Reported burning'!F3283</f>
        <v>0</v>
      </c>
      <c r="G3283" s="156">
        <f>'Reported burning'!G3283</f>
        <v>0</v>
      </c>
      <c r="H3283" s="156">
        <f>'Reported burning'!H3283</f>
        <v>0</v>
      </c>
      <c r="I3283" s="5"/>
    </row>
    <row r="3284" spans="1:9">
      <c r="A3284" s="156">
        <f>'Reported burning'!A3284</f>
        <v>0</v>
      </c>
      <c r="B3284" s="156">
        <f>'Reported burning'!B3284</f>
        <v>0</v>
      </c>
      <c r="C3284" s="156">
        <f>'Reported burning'!C3284</f>
        <v>0</v>
      </c>
      <c r="D3284" s="156">
        <f>'Reported burning'!D3284</f>
        <v>0</v>
      </c>
      <c r="E3284" s="156">
        <f>'Reported burning'!E3284</f>
        <v>0</v>
      </c>
      <c r="F3284" s="156">
        <f>'Reported burning'!F3284</f>
        <v>0</v>
      </c>
      <c r="G3284" s="156">
        <f>'Reported burning'!G3284</f>
        <v>0</v>
      </c>
      <c r="H3284" s="156">
        <f>'Reported burning'!H3284</f>
        <v>0</v>
      </c>
      <c r="I3284" s="5"/>
    </row>
    <row r="3285" spans="1:9">
      <c r="A3285" s="156">
        <f>'Reported burning'!A3285</f>
        <v>0</v>
      </c>
      <c r="B3285" s="156">
        <f>'Reported burning'!B3285</f>
        <v>0</v>
      </c>
      <c r="C3285" s="156">
        <f>'Reported burning'!C3285</f>
        <v>0</v>
      </c>
      <c r="D3285" s="156">
        <f>'Reported burning'!D3285</f>
        <v>0</v>
      </c>
      <c r="E3285" s="156">
        <f>'Reported burning'!E3285</f>
        <v>0</v>
      </c>
      <c r="F3285" s="156">
        <f>'Reported burning'!F3285</f>
        <v>0</v>
      </c>
      <c r="G3285" s="156">
        <f>'Reported burning'!G3285</f>
        <v>0</v>
      </c>
      <c r="H3285" s="156">
        <f>'Reported burning'!H3285</f>
        <v>0</v>
      </c>
      <c r="I3285" s="5"/>
    </row>
    <row r="3286" spans="1:9">
      <c r="A3286" s="156">
        <f>'Reported burning'!A3286</f>
        <v>0</v>
      </c>
      <c r="B3286" s="156">
        <f>'Reported burning'!B3286</f>
        <v>0</v>
      </c>
      <c r="C3286" s="156">
        <f>'Reported burning'!C3286</f>
        <v>0</v>
      </c>
      <c r="D3286" s="156">
        <f>'Reported burning'!D3286</f>
        <v>0</v>
      </c>
      <c r="E3286" s="156">
        <f>'Reported burning'!E3286</f>
        <v>0</v>
      </c>
      <c r="F3286" s="156">
        <f>'Reported burning'!F3286</f>
        <v>0</v>
      </c>
      <c r="G3286" s="156">
        <f>'Reported burning'!G3286</f>
        <v>0</v>
      </c>
      <c r="H3286" s="156">
        <f>'Reported burning'!H3286</f>
        <v>0</v>
      </c>
      <c r="I3286" s="5"/>
    </row>
    <row r="3287" spans="1:9">
      <c r="A3287" s="156">
        <f>'Reported burning'!A3287</f>
        <v>0</v>
      </c>
      <c r="B3287" s="156">
        <f>'Reported burning'!B3287</f>
        <v>0</v>
      </c>
      <c r="C3287" s="156">
        <f>'Reported burning'!C3287</f>
        <v>0</v>
      </c>
      <c r="D3287" s="156">
        <f>'Reported burning'!D3287</f>
        <v>0</v>
      </c>
      <c r="E3287" s="156">
        <f>'Reported burning'!E3287</f>
        <v>0</v>
      </c>
      <c r="F3287" s="156">
        <f>'Reported burning'!F3287</f>
        <v>0</v>
      </c>
      <c r="G3287" s="156">
        <f>'Reported burning'!G3287</f>
        <v>0</v>
      </c>
      <c r="H3287" s="156">
        <f>'Reported burning'!H3287</f>
        <v>0</v>
      </c>
      <c r="I3287" s="5"/>
    </row>
    <row r="3288" spans="1:9">
      <c r="A3288" s="156">
        <f>'Reported burning'!A3288</f>
        <v>0</v>
      </c>
      <c r="B3288" s="156">
        <f>'Reported burning'!B3288</f>
        <v>0</v>
      </c>
      <c r="C3288" s="156">
        <f>'Reported burning'!C3288</f>
        <v>0</v>
      </c>
      <c r="D3288" s="156">
        <f>'Reported burning'!D3288</f>
        <v>0</v>
      </c>
      <c r="E3288" s="156">
        <f>'Reported burning'!E3288</f>
        <v>0</v>
      </c>
      <c r="F3288" s="156">
        <f>'Reported burning'!F3288</f>
        <v>0</v>
      </c>
      <c r="G3288" s="156">
        <f>'Reported burning'!G3288</f>
        <v>0</v>
      </c>
      <c r="H3288" s="156">
        <f>'Reported burning'!H3288</f>
        <v>0</v>
      </c>
      <c r="I3288" s="5"/>
    </row>
    <row r="3289" spans="1:9">
      <c r="A3289" s="156">
        <f>'Reported burning'!A3289</f>
        <v>0</v>
      </c>
      <c r="B3289" s="156">
        <f>'Reported burning'!B3289</f>
        <v>0</v>
      </c>
      <c r="C3289" s="156">
        <f>'Reported burning'!C3289</f>
        <v>0</v>
      </c>
      <c r="D3289" s="156">
        <f>'Reported burning'!D3289</f>
        <v>0</v>
      </c>
      <c r="E3289" s="156">
        <f>'Reported burning'!E3289</f>
        <v>0</v>
      </c>
      <c r="F3289" s="156">
        <f>'Reported burning'!F3289</f>
        <v>0</v>
      </c>
      <c r="G3289" s="156">
        <f>'Reported burning'!G3289</f>
        <v>0</v>
      </c>
      <c r="H3289" s="156">
        <f>'Reported burning'!H3289</f>
        <v>0</v>
      </c>
      <c r="I3289" s="5"/>
    </row>
    <row r="3290" spans="1:9">
      <c r="A3290" s="156">
        <f>'Reported burning'!A3290</f>
        <v>0</v>
      </c>
      <c r="B3290" s="156">
        <f>'Reported burning'!B3290</f>
        <v>0</v>
      </c>
      <c r="C3290" s="156">
        <f>'Reported burning'!C3290</f>
        <v>0</v>
      </c>
      <c r="D3290" s="156">
        <f>'Reported burning'!D3290</f>
        <v>0</v>
      </c>
      <c r="E3290" s="156">
        <f>'Reported burning'!E3290</f>
        <v>0</v>
      </c>
      <c r="F3290" s="156">
        <f>'Reported burning'!F3290</f>
        <v>0</v>
      </c>
      <c r="G3290" s="156">
        <f>'Reported burning'!G3290</f>
        <v>0</v>
      </c>
      <c r="H3290" s="156">
        <f>'Reported burning'!H3290</f>
        <v>0</v>
      </c>
      <c r="I3290" s="5"/>
    </row>
    <row r="3291" spans="1:9">
      <c r="A3291" s="156">
        <f>'Reported burning'!A3291</f>
        <v>0</v>
      </c>
      <c r="B3291" s="156">
        <f>'Reported burning'!B3291</f>
        <v>0</v>
      </c>
      <c r="C3291" s="156">
        <f>'Reported burning'!C3291</f>
        <v>0</v>
      </c>
      <c r="D3291" s="156">
        <f>'Reported burning'!D3291</f>
        <v>0</v>
      </c>
      <c r="E3291" s="156">
        <f>'Reported burning'!E3291</f>
        <v>0</v>
      </c>
      <c r="F3291" s="156">
        <f>'Reported burning'!F3291</f>
        <v>0</v>
      </c>
      <c r="G3291" s="156">
        <f>'Reported burning'!G3291</f>
        <v>0</v>
      </c>
      <c r="H3291" s="156">
        <f>'Reported burning'!H3291</f>
        <v>0</v>
      </c>
      <c r="I3291" s="5"/>
    </row>
    <row r="3292" spans="1:9">
      <c r="A3292" s="156">
        <f>'Reported burning'!A3292</f>
        <v>0</v>
      </c>
      <c r="B3292" s="156">
        <f>'Reported burning'!B3292</f>
        <v>0</v>
      </c>
      <c r="C3292" s="156">
        <f>'Reported burning'!C3292</f>
        <v>0</v>
      </c>
      <c r="D3292" s="156">
        <f>'Reported burning'!D3292</f>
        <v>0</v>
      </c>
      <c r="E3292" s="156">
        <f>'Reported burning'!E3292</f>
        <v>0</v>
      </c>
      <c r="F3292" s="156">
        <f>'Reported burning'!F3292</f>
        <v>0</v>
      </c>
      <c r="G3292" s="156">
        <f>'Reported burning'!G3292</f>
        <v>0</v>
      </c>
      <c r="H3292" s="156">
        <f>'Reported burning'!H3292</f>
        <v>0</v>
      </c>
      <c r="I3292" s="5"/>
    </row>
    <row r="3293" spans="1:9">
      <c r="A3293" s="156">
        <f>'Reported burning'!A3293</f>
        <v>0</v>
      </c>
      <c r="B3293" s="156">
        <f>'Reported burning'!B3293</f>
        <v>0</v>
      </c>
      <c r="C3293" s="156">
        <f>'Reported burning'!C3293</f>
        <v>0</v>
      </c>
      <c r="D3293" s="156">
        <f>'Reported burning'!D3293</f>
        <v>0</v>
      </c>
      <c r="E3293" s="156">
        <f>'Reported burning'!E3293</f>
        <v>0</v>
      </c>
      <c r="F3293" s="156">
        <f>'Reported burning'!F3293</f>
        <v>0</v>
      </c>
      <c r="G3293" s="156">
        <f>'Reported burning'!G3293</f>
        <v>0</v>
      </c>
      <c r="H3293" s="156">
        <f>'Reported burning'!H3293</f>
        <v>0</v>
      </c>
      <c r="I3293" s="5"/>
    </row>
    <row r="3294" spans="1:9">
      <c r="A3294" s="156">
        <f>'Reported burning'!A3294</f>
        <v>0</v>
      </c>
      <c r="B3294" s="156">
        <f>'Reported burning'!B3294</f>
        <v>0</v>
      </c>
      <c r="C3294" s="156">
        <f>'Reported burning'!C3294</f>
        <v>0</v>
      </c>
      <c r="D3294" s="156">
        <f>'Reported burning'!D3294</f>
        <v>0</v>
      </c>
      <c r="E3294" s="156">
        <f>'Reported burning'!E3294</f>
        <v>0</v>
      </c>
      <c r="F3294" s="156">
        <f>'Reported burning'!F3294</f>
        <v>0</v>
      </c>
      <c r="G3294" s="156">
        <f>'Reported burning'!G3294</f>
        <v>0</v>
      </c>
      <c r="H3294" s="156">
        <f>'Reported burning'!H3294</f>
        <v>0</v>
      </c>
      <c r="I3294" s="5"/>
    </row>
    <row r="3295" spans="1:9">
      <c r="A3295" s="156">
        <f>'Reported burning'!A3295</f>
        <v>0</v>
      </c>
      <c r="B3295" s="156">
        <f>'Reported burning'!B3295</f>
        <v>0</v>
      </c>
      <c r="C3295" s="156">
        <f>'Reported burning'!C3295</f>
        <v>0</v>
      </c>
      <c r="D3295" s="156">
        <f>'Reported burning'!D3295</f>
        <v>0</v>
      </c>
      <c r="E3295" s="156">
        <f>'Reported burning'!E3295</f>
        <v>0</v>
      </c>
      <c r="F3295" s="156">
        <f>'Reported burning'!F3295</f>
        <v>0</v>
      </c>
      <c r="G3295" s="156">
        <f>'Reported burning'!G3295</f>
        <v>0</v>
      </c>
      <c r="H3295" s="156">
        <f>'Reported burning'!H3295</f>
        <v>0</v>
      </c>
      <c r="I3295" s="5"/>
    </row>
    <row r="3296" spans="1:9">
      <c r="A3296" s="156">
        <f>'Reported burning'!A3296</f>
        <v>0</v>
      </c>
      <c r="B3296" s="156">
        <f>'Reported burning'!B3296</f>
        <v>0</v>
      </c>
      <c r="C3296" s="156">
        <f>'Reported burning'!C3296</f>
        <v>0</v>
      </c>
      <c r="D3296" s="156">
        <f>'Reported burning'!D3296</f>
        <v>0</v>
      </c>
      <c r="E3296" s="156">
        <f>'Reported burning'!E3296</f>
        <v>0</v>
      </c>
      <c r="F3296" s="156">
        <f>'Reported burning'!F3296</f>
        <v>0</v>
      </c>
      <c r="G3296" s="156">
        <f>'Reported burning'!G3296</f>
        <v>0</v>
      </c>
      <c r="H3296" s="156">
        <f>'Reported burning'!H3296</f>
        <v>0</v>
      </c>
      <c r="I3296" s="5"/>
    </row>
    <row r="3297" spans="1:9">
      <c r="A3297" s="156">
        <f>'Reported burning'!A3297</f>
        <v>0</v>
      </c>
      <c r="B3297" s="156">
        <f>'Reported burning'!B3297</f>
        <v>0</v>
      </c>
      <c r="C3297" s="156">
        <f>'Reported burning'!C3297</f>
        <v>0</v>
      </c>
      <c r="D3297" s="156">
        <f>'Reported burning'!D3297</f>
        <v>0</v>
      </c>
      <c r="E3297" s="156">
        <f>'Reported burning'!E3297</f>
        <v>0</v>
      </c>
      <c r="F3297" s="156">
        <f>'Reported burning'!F3297</f>
        <v>0</v>
      </c>
      <c r="G3297" s="156">
        <f>'Reported burning'!G3297</f>
        <v>0</v>
      </c>
      <c r="H3297" s="156">
        <f>'Reported burning'!H3297</f>
        <v>0</v>
      </c>
      <c r="I3297" s="5"/>
    </row>
    <row r="3298" spans="1:9">
      <c r="A3298" s="156">
        <f>'Reported burning'!A3298</f>
        <v>0</v>
      </c>
      <c r="B3298" s="156">
        <f>'Reported burning'!B3298</f>
        <v>0</v>
      </c>
      <c r="C3298" s="156">
        <f>'Reported burning'!C3298</f>
        <v>0</v>
      </c>
      <c r="D3298" s="156">
        <f>'Reported burning'!D3298</f>
        <v>0</v>
      </c>
      <c r="E3298" s="156">
        <f>'Reported burning'!E3298</f>
        <v>0</v>
      </c>
      <c r="F3298" s="156">
        <f>'Reported burning'!F3298</f>
        <v>0</v>
      </c>
      <c r="G3298" s="156">
        <f>'Reported burning'!G3298</f>
        <v>0</v>
      </c>
      <c r="H3298" s="156">
        <f>'Reported burning'!H3298</f>
        <v>0</v>
      </c>
      <c r="I3298" s="5"/>
    </row>
    <row r="3299" spans="1:9">
      <c r="A3299" s="156">
        <f>'Reported burning'!A3299</f>
        <v>0</v>
      </c>
      <c r="B3299" s="156">
        <f>'Reported burning'!B3299</f>
        <v>0</v>
      </c>
      <c r="C3299" s="156">
        <f>'Reported burning'!C3299</f>
        <v>0</v>
      </c>
      <c r="D3299" s="156">
        <f>'Reported burning'!D3299</f>
        <v>0</v>
      </c>
      <c r="E3299" s="156">
        <f>'Reported burning'!E3299</f>
        <v>0</v>
      </c>
      <c r="F3299" s="156">
        <f>'Reported burning'!F3299</f>
        <v>0</v>
      </c>
      <c r="G3299" s="156">
        <f>'Reported burning'!G3299</f>
        <v>0</v>
      </c>
      <c r="H3299" s="156">
        <f>'Reported burning'!H3299</f>
        <v>0</v>
      </c>
      <c r="I3299" s="5"/>
    </row>
    <row r="3300" spans="1:9">
      <c r="A3300" s="156">
        <f>'Reported burning'!A3300</f>
        <v>0</v>
      </c>
      <c r="B3300" s="156">
        <f>'Reported burning'!B3300</f>
        <v>0</v>
      </c>
      <c r="C3300" s="156">
        <f>'Reported burning'!C3300</f>
        <v>0</v>
      </c>
      <c r="D3300" s="156">
        <f>'Reported burning'!D3300</f>
        <v>0</v>
      </c>
      <c r="E3300" s="156">
        <f>'Reported burning'!E3300</f>
        <v>0</v>
      </c>
      <c r="F3300" s="156">
        <f>'Reported burning'!F3300</f>
        <v>0</v>
      </c>
      <c r="G3300" s="156">
        <f>'Reported burning'!G3300</f>
        <v>0</v>
      </c>
      <c r="H3300" s="156">
        <f>'Reported burning'!H3300</f>
        <v>0</v>
      </c>
      <c r="I3300" s="5"/>
    </row>
    <row r="3301" spans="1:9">
      <c r="A3301" s="156">
        <f>'Reported burning'!A3301</f>
        <v>0</v>
      </c>
      <c r="B3301" s="156">
        <f>'Reported burning'!B3301</f>
        <v>0</v>
      </c>
      <c r="C3301" s="156">
        <f>'Reported burning'!C3301</f>
        <v>0</v>
      </c>
      <c r="D3301" s="156">
        <f>'Reported burning'!D3301</f>
        <v>0</v>
      </c>
      <c r="E3301" s="156">
        <f>'Reported burning'!E3301</f>
        <v>0</v>
      </c>
      <c r="F3301" s="156">
        <f>'Reported burning'!F3301</f>
        <v>0</v>
      </c>
      <c r="G3301" s="156">
        <f>'Reported burning'!G3301</f>
        <v>0</v>
      </c>
      <c r="H3301" s="156">
        <f>'Reported burning'!H3301</f>
        <v>0</v>
      </c>
      <c r="I3301" s="5"/>
    </row>
    <row r="3302" spans="1:9">
      <c r="A3302" s="156">
        <f>'Reported burning'!A3302</f>
        <v>0</v>
      </c>
      <c r="B3302" s="156">
        <f>'Reported burning'!B3302</f>
        <v>0</v>
      </c>
      <c r="C3302" s="156">
        <f>'Reported burning'!C3302</f>
        <v>0</v>
      </c>
      <c r="D3302" s="156">
        <f>'Reported burning'!D3302</f>
        <v>0</v>
      </c>
      <c r="E3302" s="156">
        <f>'Reported burning'!E3302</f>
        <v>0</v>
      </c>
      <c r="F3302" s="156">
        <f>'Reported burning'!F3302</f>
        <v>0</v>
      </c>
      <c r="G3302" s="156">
        <f>'Reported burning'!G3302</f>
        <v>0</v>
      </c>
      <c r="H3302" s="156">
        <f>'Reported burning'!H3302</f>
        <v>0</v>
      </c>
      <c r="I3302" s="5"/>
    </row>
    <row r="3303" spans="1:9">
      <c r="A3303" s="156">
        <f>'Reported burning'!A3303</f>
        <v>0</v>
      </c>
      <c r="B3303" s="156">
        <f>'Reported burning'!B3303</f>
        <v>0</v>
      </c>
      <c r="C3303" s="156">
        <f>'Reported burning'!C3303</f>
        <v>0</v>
      </c>
      <c r="D3303" s="156">
        <f>'Reported burning'!D3303</f>
        <v>0</v>
      </c>
      <c r="E3303" s="156">
        <f>'Reported burning'!E3303</f>
        <v>0</v>
      </c>
      <c r="F3303" s="156">
        <f>'Reported burning'!F3303</f>
        <v>0</v>
      </c>
      <c r="G3303" s="156">
        <f>'Reported burning'!G3303</f>
        <v>0</v>
      </c>
      <c r="H3303" s="156">
        <f>'Reported burning'!H3303</f>
        <v>0</v>
      </c>
      <c r="I3303" s="5"/>
    </row>
    <row r="3304" spans="1:9">
      <c r="A3304" s="156">
        <f>'Reported burning'!A3304</f>
        <v>0</v>
      </c>
      <c r="B3304" s="156">
        <f>'Reported burning'!B3304</f>
        <v>0</v>
      </c>
      <c r="C3304" s="156">
        <f>'Reported burning'!C3304</f>
        <v>0</v>
      </c>
      <c r="D3304" s="156">
        <f>'Reported burning'!D3304</f>
        <v>0</v>
      </c>
      <c r="E3304" s="156">
        <f>'Reported burning'!E3304</f>
        <v>0</v>
      </c>
      <c r="F3304" s="156">
        <f>'Reported burning'!F3304</f>
        <v>0</v>
      </c>
      <c r="G3304" s="156">
        <f>'Reported burning'!G3304</f>
        <v>0</v>
      </c>
      <c r="H3304" s="156">
        <f>'Reported burning'!H3304</f>
        <v>0</v>
      </c>
      <c r="I3304" s="5"/>
    </row>
    <row r="3305" spans="1:9">
      <c r="A3305" s="156">
        <f>'Reported burning'!A3305</f>
        <v>0</v>
      </c>
      <c r="B3305" s="156">
        <f>'Reported burning'!B3305</f>
        <v>0</v>
      </c>
      <c r="C3305" s="156">
        <f>'Reported burning'!C3305</f>
        <v>0</v>
      </c>
      <c r="D3305" s="156">
        <f>'Reported burning'!D3305</f>
        <v>0</v>
      </c>
      <c r="E3305" s="156">
        <f>'Reported burning'!E3305</f>
        <v>0</v>
      </c>
      <c r="F3305" s="156">
        <f>'Reported burning'!F3305</f>
        <v>0</v>
      </c>
      <c r="G3305" s="156">
        <f>'Reported burning'!G3305</f>
        <v>0</v>
      </c>
      <c r="H3305" s="156">
        <f>'Reported burning'!H3305</f>
        <v>0</v>
      </c>
      <c r="I3305" s="5"/>
    </row>
    <row r="3306" spans="1:9">
      <c r="A3306" s="156">
        <f>'Reported burning'!A3306</f>
        <v>0</v>
      </c>
      <c r="B3306" s="156">
        <f>'Reported burning'!B3306</f>
        <v>0</v>
      </c>
      <c r="C3306" s="156">
        <f>'Reported burning'!C3306</f>
        <v>0</v>
      </c>
      <c r="D3306" s="156">
        <f>'Reported burning'!D3306</f>
        <v>0</v>
      </c>
      <c r="E3306" s="156">
        <f>'Reported burning'!E3306</f>
        <v>0</v>
      </c>
      <c r="F3306" s="156">
        <f>'Reported burning'!F3306</f>
        <v>0</v>
      </c>
      <c r="G3306" s="156">
        <f>'Reported burning'!G3306</f>
        <v>0</v>
      </c>
      <c r="H3306" s="156">
        <f>'Reported burning'!H3306</f>
        <v>0</v>
      </c>
      <c r="I3306" s="5"/>
    </row>
    <row r="3307" spans="1:9">
      <c r="A3307" s="156">
        <f>'Reported burning'!A3307</f>
        <v>0</v>
      </c>
      <c r="B3307" s="156">
        <f>'Reported burning'!B3307</f>
        <v>0</v>
      </c>
      <c r="C3307" s="156">
        <f>'Reported burning'!C3307</f>
        <v>0</v>
      </c>
      <c r="D3307" s="156">
        <f>'Reported burning'!D3307</f>
        <v>0</v>
      </c>
      <c r="E3307" s="156">
        <f>'Reported burning'!E3307</f>
        <v>0</v>
      </c>
      <c r="F3307" s="156">
        <f>'Reported burning'!F3307</f>
        <v>0</v>
      </c>
      <c r="G3307" s="156">
        <f>'Reported burning'!G3307</f>
        <v>0</v>
      </c>
      <c r="H3307" s="156">
        <f>'Reported burning'!H3307</f>
        <v>0</v>
      </c>
      <c r="I3307" s="5"/>
    </row>
    <row r="3308" spans="1:9">
      <c r="A3308" s="156">
        <f>'Reported burning'!A3308</f>
        <v>0</v>
      </c>
      <c r="B3308" s="156">
        <f>'Reported burning'!B3308</f>
        <v>0</v>
      </c>
      <c r="C3308" s="156">
        <f>'Reported burning'!C3308</f>
        <v>0</v>
      </c>
      <c r="D3308" s="156">
        <f>'Reported burning'!D3308</f>
        <v>0</v>
      </c>
      <c r="E3308" s="156">
        <f>'Reported burning'!E3308</f>
        <v>0</v>
      </c>
      <c r="F3308" s="156">
        <f>'Reported burning'!F3308</f>
        <v>0</v>
      </c>
      <c r="G3308" s="156">
        <f>'Reported burning'!G3308</f>
        <v>0</v>
      </c>
      <c r="H3308" s="156">
        <f>'Reported burning'!H3308</f>
        <v>0</v>
      </c>
      <c r="I3308" s="5"/>
    </row>
    <row r="3309" spans="1:9">
      <c r="A3309" s="156">
        <f>'Reported burning'!A3309</f>
        <v>0</v>
      </c>
      <c r="B3309" s="156">
        <f>'Reported burning'!B3309</f>
        <v>0</v>
      </c>
      <c r="C3309" s="156">
        <f>'Reported burning'!C3309</f>
        <v>0</v>
      </c>
      <c r="D3309" s="156">
        <f>'Reported burning'!D3309</f>
        <v>0</v>
      </c>
      <c r="E3309" s="156">
        <f>'Reported burning'!E3309</f>
        <v>0</v>
      </c>
      <c r="F3309" s="156">
        <f>'Reported burning'!F3309</f>
        <v>0</v>
      </c>
      <c r="G3309" s="156">
        <f>'Reported burning'!G3309</f>
        <v>0</v>
      </c>
      <c r="H3309" s="156">
        <f>'Reported burning'!H3309</f>
        <v>0</v>
      </c>
      <c r="I3309" s="5"/>
    </row>
    <row r="3310" spans="1:9">
      <c r="A3310" s="156">
        <f>'Reported burning'!A3310</f>
        <v>0</v>
      </c>
      <c r="B3310" s="156">
        <f>'Reported burning'!B3310</f>
        <v>0</v>
      </c>
      <c r="C3310" s="156">
        <f>'Reported burning'!C3310</f>
        <v>0</v>
      </c>
      <c r="D3310" s="156">
        <f>'Reported burning'!D3310</f>
        <v>0</v>
      </c>
      <c r="E3310" s="156">
        <f>'Reported burning'!E3310</f>
        <v>0</v>
      </c>
      <c r="F3310" s="156">
        <f>'Reported burning'!F3310</f>
        <v>0</v>
      </c>
      <c r="G3310" s="156">
        <f>'Reported burning'!G3310</f>
        <v>0</v>
      </c>
      <c r="H3310" s="156">
        <f>'Reported burning'!H3310</f>
        <v>0</v>
      </c>
      <c r="I3310" s="5"/>
    </row>
    <row r="3311" spans="1:9">
      <c r="A3311" s="156">
        <f>'Reported burning'!A3311</f>
        <v>0</v>
      </c>
      <c r="B3311" s="156">
        <f>'Reported burning'!B3311</f>
        <v>0</v>
      </c>
      <c r="C3311" s="156">
        <f>'Reported burning'!C3311</f>
        <v>0</v>
      </c>
      <c r="D3311" s="156">
        <f>'Reported burning'!D3311</f>
        <v>0</v>
      </c>
      <c r="E3311" s="156">
        <f>'Reported burning'!E3311</f>
        <v>0</v>
      </c>
      <c r="F3311" s="156">
        <f>'Reported burning'!F3311</f>
        <v>0</v>
      </c>
      <c r="G3311" s="156">
        <f>'Reported burning'!G3311</f>
        <v>0</v>
      </c>
      <c r="H3311" s="156">
        <f>'Reported burning'!H3311</f>
        <v>0</v>
      </c>
      <c r="I3311" s="5"/>
    </row>
    <row r="3312" spans="1:9">
      <c r="A3312" s="156">
        <f>'Reported burning'!A3312</f>
        <v>0</v>
      </c>
      <c r="B3312" s="156">
        <f>'Reported burning'!B3312</f>
        <v>0</v>
      </c>
      <c r="C3312" s="156">
        <f>'Reported burning'!C3312</f>
        <v>0</v>
      </c>
      <c r="D3312" s="156">
        <f>'Reported burning'!D3312</f>
        <v>0</v>
      </c>
      <c r="E3312" s="156">
        <f>'Reported burning'!E3312</f>
        <v>0</v>
      </c>
      <c r="F3312" s="156">
        <f>'Reported burning'!F3312</f>
        <v>0</v>
      </c>
      <c r="G3312" s="156">
        <f>'Reported burning'!G3312</f>
        <v>0</v>
      </c>
      <c r="H3312" s="156">
        <f>'Reported burning'!H3312</f>
        <v>0</v>
      </c>
      <c r="I3312" s="5"/>
    </row>
    <row r="3313" spans="1:9">
      <c r="A3313" s="156">
        <f>'Reported burning'!A3313</f>
        <v>0</v>
      </c>
      <c r="B3313" s="156">
        <f>'Reported burning'!B3313</f>
        <v>0</v>
      </c>
      <c r="C3313" s="156">
        <f>'Reported burning'!C3313</f>
        <v>0</v>
      </c>
      <c r="D3313" s="156">
        <f>'Reported burning'!D3313</f>
        <v>0</v>
      </c>
      <c r="E3313" s="156">
        <f>'Reported burning'!E3313</f>
        <v>0</v>
      </c>
      <c r="F3313" s="156">
        <f>'Reported burning'!F3313</f>
        <v>0</v>
      </c>
      <c r="G3313" s="156">
        <f>'Reported burning'!G3313</f>
        <v>0</v>
      </c>
      <c r="H3313" s="156">
        <f>'Reported burning'!H3313</f>
        <v>0</v>
      </c>
      <c r="I3313" s="5"/>
    </row>
    <row r="3314" spans="1:9">
      <c r="A3314" s="156">
        <f>'Reported burning'!A3314</f>
        <v>0</v>
      </c>
      <c r="B3314" s="156">
        <f>'Reported burning'!B3314</f>
        <v>0</v>
      </c>
      <c r="C3314" s="156">
        <f>'Reported burning'!C3314</f>
        <v>0</v>
      </c>
      <c r="D3314" s="156">
        <f>'Reported burning'!D3314</f>
        <v>0</v>
      </c>
      <c r="E3314" s="156">
        <f>'Reported burning'!E3314</f>
        <v>0</v>
      </c>
      <c r="F3314" s="156">
        <f>'Reported burning'!F3314</f>
        <v>0</v>
      </c>
      <c r="G3314" s="156">
        <f>'Reported burning'!G3314</f>
        <v>0</v>
      </c>
      <c r="H3314" s="156">
        <f>'Reported burning'!H3314</f>
        <v>0</v>
      </c>
      <c r="I3314" s="5"/>
    </row>
    <row r="3315" spans="1:9">
      <c r="A3315" s="156">
        <f>'Reported burning'!A3315</f>
        <v>0</v>
      </c>
      <c r="B3315" s="156">
        <f>'Reported burning'!B3315</f>
        <v>0</v>
      </c>
      <c r="C3315" s="156">
        <f>'Reported burning'!C3315</f>
        <v>0</v>
      </c>
      <c r="D3315" s="156">
        <f>'Reported burning'!D3315</f>
        <v>0</v>
      </c>
      <c r="E3315" s="156">
        <f>'Reported burning'!E3315</f>
        <v>0</v>
      </c>
      <c r="F3315" s="156">
        <f>'Reported burning'!F3315</f>
        <v>0</v>
      </c>
      <c r="G3315" s="156">
        <f>'Reported burning'!G3315</f>
        <v>0</v>
      </c>
      <c r="H3315" s="156">
        <f>'Reported burning'!H3315</f>
        <v>0</v>
      </c>
      <c r="I3315" s="5"/>
    </row>
    <row r="3316" spans="1:9">
      <c r="A3316" s="156">
        <f>'Reported burning'!A3316</f>
        <v>0</v>
      </c>
      <c r="B3316" s="156">
        <f>'Reported burning'!B3316</f>
        <v>0</v>
      </c>
      <c r="C3316" s="156">
        <f>'Reported burning'!C3316</f>
        <v>0</v>
      </c>
      <c r="D3316" s="156">
        <f>'Reported burning'!D3316</f>
        <v>0</v>
      </c>
      <c r="E3316" s="156">
        <f>'Reported burning'!E3316</f>
        <v>0</v>
      </c>
      <c r="F3316" s="156">
        <f>'Reported burning'!F3316</f>
        <v>0</v>
      </c>
      <c r="G3316" s="156">
        <f>'Reported burning'!G3316</f>
        <v>0</v>
      </c>
      <c r="H3316" s="156">
        <f>'Reported burning'!H3316</f>
        <v>0</v>
      </c>
      <c r="I3316" s="5"/>
    </row>
    <row r="3317" spans="1:9">
      <c r="A3317" s="156">
        <f>'Reported burning'!A3317</f>
        <v>0</v>
      </c>
      <c r="B3317" s="156">
        <f>'Reported burning'!B3317</f>
        <v>0</v>
      </c>
      <c r="C3317" s="156">
        <f>'Reported burning'!C3317</f>
        <v>0</v>
      </c>
      <c r="D3317" s="156">
        <f>'Reported burning'!D3317</f>
        <v>0</v>
      </c>
      <c r="E3317" s="156">
        <f>'Reported burning'!E3317</f>
        <v>0</v>
      </c>
      <c r="F3317" s="156">
        <f>'Reported burning'!F3317</f>
        <v>0</v>
      </c>
      <c r="G3317" s="156">
        <f>'Reported burning'!G3317</f>
        <v>0</v>
      </c>
      <c r="H3317" s="156">
        <f>'Reported burning'!H3317</f>
        <v>0</v>
      </c>
      <c r="I3317" s="5"/>
    </row>
    <row r="3318" spans="1:9">
      <c r="A3318" s="156">
        <f>'Reported burning'!A3318</f>
        <v>0</v>
      </c>
      <c r="B3318" s="156">
        <f>'Reported burning'!B3318</f>
        <v>0</v>
      </c>
      <c r="C3318" s="156">
        <f>'Reported burning'!C3318</f>
        <v>0</v>
      </c>
      <c r="D3318" s="156">
        <f>'Reported burning'!D3318</f>
        <v>0</v>
      </c>
      <c r="E3318" s="156">
        <f>'Reported burning'!E3318</f>
        <v>0</v>
      </c>
      <c r="F3318" s="156">
        <f>'Reported burning'!F3318</f>
        <v>0</v>
      </c>
      <c r="G3318" s="156">
        <f>'Reported burning'!G3318</f>
        <v>0</v>
      </c>
      <c r="H3318" s="156">
        <f>'Reported burning'!H3318</f>
        <v>0</v>
      </c>
      <c r="I3318" s="5"/>
    </row>
    <row r="3319" spans="1:9">
      <c r="A3319" s="156">
        <f>'Reported burning'!A3319</f>
        <v>0</v>
      </c>
      <c r="B3319" s="156">
        <f>'Reported burning'!B3319</f>
        <v>0</v>
      </c>
      <c r="C3319" s="156">
        <f>'Reported burning'!C3319</f>
        <v>0</v>
      </c>
      <c r="D3319" s="156">
        <f>'Reported burning'!D3319</f>
        <v>0</v>
      </c>
      <c r="E3319" s="156">
        <f>'Reported burning'!E3319</f>
        <v>0</v>
      </c>
      <c r="F3319" s="156">
        <f>'Reported burning'!F3319</f>
        <v>0</v>
      </c>
      <c r="G3319" s="156">
        <f>'Reported burning'!G3319</f>
        <v>0</v>
      </c>
      <c r="H3319" s="156">
        <f>'Reported burning'!H3319</f>
        <v>0</v>
      </c>
      <c r="I3319" s="5"/>
    </row>
    <row r="3320" spans="1:9">
      <c r="A3320" s="156">
        <f>'Reported burning'!A3320</f>
        <v>0</v>
      </c>
      <c r="B3320" s="156">
        <f>'Reported burning'!B3320</f>
        <v>0</v>
      </c>
      <c r="C3320" s="156">
        <f>'Reported burning'!C3320</f>
        <v>0</v>
      </c>
      <c r="D3320" s="156">
        <f>'Reported burning'!D3320</f>
        <v>0</v>
      </c>
      <c r="E3320" s="156">
        <f>'Reported burning'!E3320</f>
        <v>0</v>
      </c>
      <c r="F3320" s="156">
        <f>'Reported burning'!F3320</f>
        <v>0</v>
      </c>
      <c r="G3320" s="156">
        <f>'Reported burning'!G3320</f>
        <v>0</v>
      </c>
      <c r="H3320" s="156">
        <f>'Reported burning'!H3320</f>
        <v>0</v>
      </c>
      <c r="I3320" s="5"/>
    </row>
    <row r="3321" spans="1:9">
      <c r="A3321" s="156">
        <f>'Reported burning'!A3321</f>
        <v>0</v>
      </c>
      <c r="B3321" s="156">
        <f>'Reported burning'!B3321</f>
        <v>0</v>
      </c>
      <c r="C3321" s="156">
        <f>'Reported burning'!C3321</f>
        <v>0</v>
      </c>
      <c r="D3321" s="156">
        <f>'Reported burning'!D3321</f>
        <v>0</v>
      </c>
      <c r="E3321" s="156">
        <f>'Reported burning'!E3321</f>
        <v>0</v>
      </c>
      <c r="F3321" s="156">
        <f>'Reported burning'!F3321</f>
        <v>0</v>
      </c>
      <c r="G3321" s="156">
        <f>'Reported burning'!G3321</f>
        <v>0</v>
      </c>
      <c r="H3321" s="156">
        <f>'Reported burning'!H3321</f>
        <v>0</v>
      </c>
      <c r="I3321" s="5"/>
    </row>
    <row r="3322" spans="1:9">
      <c r="A3322" s="156">
        <f>'Reported burning'!A3322</f>
        <v>0</v>
      </c>
      <c r="B3322" s="156">
        <f>'Reported burning'!B3322</f>
        <v>0</v>
      </c>
      <c r="C3322" s="156">
        <f>'Reported burning'!C3322</f>
        <v>0</v>
      </c>
      <c r="D3322" s="156">
        <f>'Reported burning'!D3322</f>
        <v>0</v>
      </c>
      <c r="E3322" s="156">
        <f>'Reported burning'!E3322</f>
        <v>0</v>
      </c>
      <c r="F3322" s="156">
        <f>'Reported burning'!F3322</f>
        <v>0</v>
      </c>
      <c r="G3322" s="156">
        <f>'Reported burning'!G3322</f>
        <v>0</v>
      </c>
      <c r="H3322" s="156">
        <f>'Reported burning'!H3322</f>
        <v>0</v>
      </c>
      <c r="I3322" s="5"/>
    </row>
    <row r="3323" spans="1:9">
      <c r="A3323" s="156">
        <f>'Reported burning'!A3323</f>
        <v>0</v>
      </c>
      <c r="B3323" s="156">
        <f>'Reported burning'!B3323</f>
        <v>0</v>
      </c>
      <c r="C3323" s="156">
        <f>'Reported burning'!C3323</f>
        <v>0</v>
      </c>
      <c r="D3323" s="156">
        <f>'Reported burning'!D3323</f>
        <v>0</v>
      </c>
      <c r="E3323" s="156">
        <f>'Reported burning'!E3323</f>
        <v>0</v>
      </c>
      <c r="F3323" s="156">
        <f>'Reported burning'!F3323</f>
        <v>0</v>
      </c>
      <c r="G3323" s="156">
        <f>'Reported burning'!G3323</f>
        <v>0</v>
      </c>
      <c r="H3323" s="156">
        <f>'Reported burning'!H3323</f>
        <v>0</v>
      </c>
      <c r="I3323" s="5"/>
    </row>
    <row r="3324" spans="1:9">
      <c r="A3324" s="156">
        <f>'Reported burning'!A3324</f>
        <v>0</v>
      </c>
      <c r="B3324" s="156">
        <f>'Reported burning'!B3324</f>
        <v>0</v>
      </c>
      <c r="C3324" s="156">
        <f>'Reported burning'!C3324</f>
        <v>0</v>
      </c>
      <c r="D3324" s="156">
        <f>'Reported burning'!D3324</f>
        <v>0</v>
      </c>
      <c r="E3324" s="156">
        <f>'Reported burning'!E3324</f>
        <v>0</v>
      </c>
      <c r="F3324" s="156">
        <f>'Reported burning'!F3324</f>
        <v>0</v>
      </c>
      <c r="G3324" s="156">
        <f>'Reported burning'!G3324</f>
        <v>0</v>
      </c>
      <c r="H3324" s="156">
        <f>'Reported burning'!H3324</f>
        <v>0</v>
      </c>
      <c r="I3324" s="5"/>
    </row>
    <row r="3325" spans="1:9">
      <c r="A3325" s="156">
        <f>'Reported burning'!A3325</f>
        <v>0</v>
      </c>
      <c r="B3325" s="156">
        <f>'Reported burning'!B3325</f>
        <v>0</v>
      </c>
      <c r="C3325" s="156">
        <f>'Reported burning'!C3325</f>
        <v>0</v>
      </c>
      <c r="D3325" s="156">
        <f>'Reported burning'!D3325</f>
        <v>0</v>
      </c>
      <c r="E3325" s="156">
        <f>'Reported burning'!E3325</f>
        <v>0</v>
      </c>
      <c r="F3325" s="156">
        <f>'Reported burning'!F3325</f>
        <v>0</v>
      </c>
      <c r="G3325" s="156">
        <f>'Reported burning'!G3325</f>
        <v>0</v>
      </c>
      <c r="H3325" s="156">
        <f>'Reported burning'!H3325</f>
        <v>0</v>
      </c>
      <c r="I3325" s="5"/>
    </row>
    <row r="3326" spans="1:9">
      <c r="A3326" s="156">
        <f>'Reported burning'!A3326</f>
        <v>0</v>
      </c>
      <c r="B3326" s="156">
        <f>'Reported burning'!B3326</f>
        <v>0</v>
      </c>
      <c r="C3326" s="156">
        <f>'Reported burning'!C3326</f>
        <v>0</v>
      </c>
      <c r="D3326" s="156">
        <f>'Reported burning'!D3326</f>
        <v>0</v>
      </c>
      <c r="E3326" s="156">
        <f>'Reported burning'!E3326</f>
        <v>0</v>
      </c>
      <c r="F3326" s="156">
        <f>'Reported burning'!F3326</f>
        <v>0</v>
      </c>
      <c r="G3326" s="156">
        <f>'Reported burning'!G3326</f>
        <v>0</v>
      </c>
      <c r="H3326" s="156">
        <f>'Reported burning'!H3326</f>
        <v>0</v>
      </c>
      <c r="I3326" s="5"/>
    </row>
    <row r="3327" spans="1:9">
      <c r="A3327" s="156">
        <f>'Reported burning'!A3327</f>
        <v>0</v>
      </c>
      <c r="B3327" s="156">
        <f>'Reported burning'!B3327</f>
        <v>0</v>
      </c>
      <c r="C3327" s="156">
        <f>'Reported burning'!C3327</f>
        <v>0</v>
      </c>
      <c r="D3327" s="156">
        <f>'Reported burning'!D3327</f>
        <v>0</v>
      </c>
      <c r="E3327" s="156">
        <f>'Reported burning'!E3327</f>
        <v>0</v>
      </c>
      <c r="F3327" s="156">
        <f>'Reported burning'!F3327</f>
        <v>0</v>
      </c>
      <c r="G3327" s="156">
        <f>'Reported burning'!G3327</f>
        <v>0</v>
      </c>
      <c r="H3327" s="156">
        <f>'Reported burning'!H3327</f>
        <v>0</v>
      </c>
      <c r="I3327" s="5"/>
    </row>
    <row r="3328" spans="1:9">
      <c r="A3328" s="156">
        <f>'Reported burning'!A3328</f>
        <v>0</v>
      </c>
      <c r="B3328" s="156">
        <f>'Reported burning'!B3328</f>
        <v>0</v>
      </c>
      <c r="C3328" s="156">
        <f>'Reported burning'!C3328</f>
        <v>0</v>
      </c>
      <c r="D3328" s="156">
        <f>'Reported burning'!D3328</f>
        <v>0</v>
      </c>
      <c r="E3328" s="156">
        <f>'Reported burning'!E3328</f>
        <v>0</v>
      </c>
      <c r="F3328" s="156">
        <f>'Reported burning'!F3328</f>
        <v>0</v>
      </c>
      <c r="G3328" s="156">
        <f>'Reported burning'!G3328</f>
        <v>0</v>
      </c>
      <c r="H3328" s="156">
        <f>'Reported burning'!H3328</f>
        <v>0</v>
      </c>
      <c r="I3328" s="5"/>
    </row>
    <row r="3329" spans="1:9">
      <c r="A3329" s="156">
        <f>'Reported burning'!A3329</f>
        <v>0</v>
      </c>
      <c r="B3329" s="156">
        <f>'Reported burning'!B3329</f>
        <v>0</v>
      </c>
      <c r="C3329" s="156">
        <f>'Reported burning'!C3329</f>
        <v>0</v>
      </c>
      <c r="D3329" s="156">
        <f>'Reported burning'!D3329</f>
        <v>0</v>
      </c>
      <c r="E3329" s="156">
        <f>'Reported burning'!E3329</f>
        <v>0</v>
      </c>
      <c r="F3329" s="156">
        <f>'Reported burning'!F3329</f>
        <v>0</v>
      </c>
      <c r="G3329" s="156">
        <f>'Reported burning'!G3329</f>
        <v>0</v>
      </c>
      <c r="H3329" s="156">
        <f>'Reported burning'!H3329</f>
        <v>0</v>
      </c>
      <c r="I3329" s="5"/>
    </row>
    <row r="3330" spans="1:9">
      <c r="A3330" s="156">
        <f>'Reported burning'!A3330</f>
        <v>0</v>
      </c>
      <c r="B3330" s="156">
        <f>'Reported burning'!B3330</f>
        <v>0</v>
      </c>
      <c r="C3330" s="156">
        <f>'Reported burning'!C3330</f>
        <v>0</v>
      </c>
      <c r="D3330" s="156">
        <f>'Reported burning'!D3330</f>
        <v>0</v>
      </c>
      <c r="E3330" s="156">
        <f>'Reported burning'!E3330</f>
        <v>0</v>
      </c>
      <c r="F3330" s="156">
        <f>'Reported burning'!F3330</f>
        <v>0</v>
      </c>
      <c r="G3330" s="156">
        <f>'Reported burning'!G3330</f>
        <v>0</v>
      </c>
      <c r="H3330" s="156">
        <f>'Reported burning'!H3330</f>
        <v>0</v>
      </c>
      <c r="I3330" s="5"/>
    </row>
    <row r="3331" spans="1:9">
      <c r="A3331" s="156">
        <f>'Reported burning'!A3331</f>
        <v>0</v>
      </c>
      <c r="B3331" s="156">
        <f>'Reported burning'!B3331</f>
        <v>0</v>
      </c>
      <c r="C3331" s="156">
        <f>'Reported burning'!C3331</f>
        <v>0</v>
      </c>
      <c r="D3331" s="156">
        <f>'Reported burning'!D3331</f>
        <v>0</v>
      </c>
      <c r="E3331" s="156">
        <f>'Reported burning'!E3331</f>
        <v>0</v>
      </c>
      <c r="F3331" s="156">
        <f>'Reported burning'!F3331</f>
        <v>0</v>
      </c>
      <c r="G3331" s="156">
        <f>'Reported burning'!G3331</f>
        <v>0</v>
      </c>
      <c r="H3331" s="156">
        <f>'Reported burning'!H3331</f>
        <v>0</v>
      </c>
      <c r="I3331" s="5"/>
    </row>
    <row r="3332" spans="1:9">
      <c r="A3332" s="156">
        <f>'Reported burning'!A3332</f>
        <v>0</v>
      </c>
      <c r="B3332" s="156">
        <f>'Reported burning'!B3332</f>
        <v>0</v>
      </c>
      <c r="C3332" s="156">
        <f>'Reported burning'!C3332</f>
        <v>0</v>
      </c>
      <c r="D3332" s="156">
        <f>'Reported burning'!D3332</f>
        <v>0</v>
      </c>
      <c r="E3332" s="156">
        <f>'Reported burning'!E3332</f>
        <v>0</v>
      </c>
      <c r="F3332" s="156">
        <f>'Reported burning'!F3332</f>
        <v>0</v>
      </c>
      <c r="G3332" s="156">
        <f>'Reported burning'!G3332</f>
        <v>0</v>
      </c>
      <c r="H3332" s="156">
        <f>'Reported burning'!H3332</f>
        <v>0</v>
      </c>
      <c r="I3332" s="5"/>
    </row>
    <row r="3333" spans="1:9">
      <c r="A3333" s="156">
        <f>'Reported burning'!A3333</f>
        <v>0</v>
      </c>
      <c r="B3333" s="156">
        <f>'Reported burning'!B3333</f>
        <v>0</v>
      </c>
      <c r="C3333" s="156">
        <f>'Reported burning'!C3333</f>
        <v>0</v>
      </c>
      <c r="D3333" s="156">
        <f>'Reported burning'!D3333</f>
        <v>0</v>
      </c>
      <c r="E3333" s="156">
        <f>'Reported burning'!E3333</f>
        <v>0</v>
      </c>
      <c r="F3333" s="156">
        <f>'Reported burning'!F3333</f>
        <v>0</v>
      </c>
      <c r="G3333" s="156">
        <f>'Reported burning'!G3333</f>
        <v>0</v>
      </c>
      <c r="H3333" s="156">
        <f>'Reported burning'!H3333</f>
        <v>0</v>
      </c>
      <c r="I3333" s="5"/>
    </row>
    <row r="3334" spans="1:9">
      <c r="A3334" s="156">
        <f>'Reported burning'!A3334</f>
        <v>0</v>
      </c>
      <c r="B3334" s="156">
        <f>'Reported burning'!B3334</f>
        <v>0</v>
      </c>
      <c r="C3334" s="156">
        <f>'Reported burning'!C3334</f>
        <v>0</v>
      </c>
      <c r="D3334" s="156">
        <f>'Reported burning'!D3334</f>
        <v>0</v>
      </c>
      <c r="E3334" s="156">
        <f>'Reported burning'!E3334</f>
        <v>0</v>
      </c>
      <c r="F3334" s="156">
        <f>'Reported burning'!F3334</f>
        <v>0</v>
      </c>
      <c r="G3334" s="156">
        <f>'Reported burning'!G3334</f>
        <v>0</v>
      </c>
      <c r="H3334" s="156">
        <f>'Reported burning'!H3334</f>
        <v>0</v>
      </c>
      <c r="I3334" s="5"/>
    </row>
    <row r="3335" spans="1:9">
      <c r="A3335" s="156">
        <f>'Reported burning'!A3335</f>
        <v>0</v>
      </c>
      <c r="B3335" s="156">
        <f>'Reported burning'!B3335</f>
        <v>0</v>
      </c>
      <c r="C3335" s="156">
        <f>'Reported burning'!C3335</f>
        <v>0</v>
      </c>
      <c r="D3335" s="156">
        <f>'Reported burning'!D3335</f>
        <v>0</v>
      </c>
      <c r="E3335" s="156">
        <f>'Reported burning'!E3335</f>
        <v>0</v>
      </c>
      <c r="F3335" s="156">
        <f>'Reported burning'!F3335</f>
        <v>0</v>
      </c>
      <c r="G3335" s="156">
        <f>'Reported burning'!G3335</f>
        <v>0</v>
      </c>
      <c r="H3335" s="156">
        <f>'Reported burning'!H3335</f>
        <v>0</v>
      </c>
      <c r="I3335" s="5"/>
    </row>
    <row r="3336" spans="1:9">
      <c r="A3336" s="156">
        <f>'Reported burning'!A3336</f>
        <v>0</v>
      </c>
      <c r="B3336" s="156">
        <f>'Reported burning'!B3336</f>
        <v>0</v>
      </c>
      <c r="C3336" s="156">
        <f>'Reported burning'!C3336</f>
        <v>0</v>
      </c>
      <c r="D3336" s="156">
        <f>'Reported burning'!D3336</f>
        <v>0</v>
      </c>
      <c r="E3336" s="156">
        <f>'Reported burning'!E3336</f>
        <v>0</v>
      </c>
      <c r="F3336" s="156">
        <f>'Reported burning'!F3336</f>
        <v>0</v>
      </c>
      <c r="G3336" s="156">
        <f>'Reported burning'!G3336</f>
        <v>0</v>
      </c>
      <c r="H3336" s="156">
        <f>'Reported burning'!H3336</f>
        <v>0</v>
      </c>
      <c r="I3336" s="5"/>
    </row>
    <row r="3337" spans="1:9">
      <c r="A3337" s="156">
        <f>'Reported burning'!A3337</f>
        <v>0</v>
      </c>
      <c r="B3337" s="156">
        <f>'Reported burning'!B3337</f>
        <v>0</v>
      </c>
      <c r="C3337" s="156">
        <f>'Reported burning'!C3337</f>
        <v>0</v>
      </c>
      <c r="D3337" s="156">
        <f>'Reported burning'!D3337</f>
        <v>0</v>
      </c>
      <c r="E3337" s="156">
        <f>'Reported burning'!E3337</f>
        <v>0</v>
      </c>
      <c r="F3337" s="156">
        <f>'Reported burning'!F3337</f>
        <v>0</v>
      </c>
      <c r="G3337" s="156">
        <f>'Reported burning'!G3337</f>
        <v>0</v>
      </c>
      <c r="H3337" s="156">
        <f>'Reported burning'!H3337</f>
        <v>0</v>
      </c>
      <c r="I3337" s="5"/>
    </row>
    <row r="3338" spans="1:9">
      <c r="A3338" s="156">
        <f>'Reported burning'!A3338</f>
        <v>0</v>
      </c>
      <c r="B3338" s="156">
        <f>'Reported burning'!B3338</f>
        <v>0</v>
      </c>
      <c r="C3338" s="156">
        <f>'Reported burning'!C3338</f>
        <v>0</v>
      </c>
      <c r="D3338" s="156">
        <f>'Reported burning'!D3338</f>
        <v>0</v>
      </c>
      <c r="E3338" s="156">
        <f>'Reported burning'!E3338</f>
        <v>0</v>
      </c>
      <c r="F3338" s="156">
        <f>'Reported burning'!F3338</f>
        <v>0</v>
      </c>
      <c r="G3338" s="156">
        <f>'Reported burning'!G3338</f>
        <v>0</v>
      </c>
      <c r="H3338" s="156">
        <f>'Reported burning'!H3338</f>
        <v>0</v>
      </c>
      <c r="I3338" s="5"/>
    </row>
    <row r="3339" spans="1:9">
      <c r="A3339" s="156">
        <f>'Reported burning'!A3339</f>
        <v>0</v>
      </c>
      <c r="B3339" s="156">
        <f>'Reported burning'!B3339</f>
        <v>0</v>
      </c>
      <c r="C3339" s="156">
        <f>'Reported burning'!C3339</f>
        <v>0</v>
      </c>
      <c r="D3339" s="156">
        <f>'Reported burning'!D3339</f>
        <v>0</v>
      </c>
      <c r="E3339" s="156">
        <f>'Reported burning'!E3339</f>
        <v>0</v>
      </c>
      <c r="F3339" s="156">
        <f>'Reported burning'!F3339</f>
        <v>0</v>
      </c>
      <c r="G3339" s="156">
        <f>'Reported burning'!G3339</f>
        <v>0</v>
      </c>
      <c r="H3339" s="156">
        <f>'Reported burning'!H3339</f>
        <v>0</v>
      </c>
      <c r="I3339" s="5"/>
    </row>
    <row r="3340" spans="1:9">
      <c r="A3340" s="156">
        <f>'Reported burning'!A3340</f>
        <v>0</v>
      </c>
      <c r="B3340" s="156">
        <f>'Reported burning'!B3340</f>
        <v>0</v>
      </c>
      <c r="C3340" s="156">
        <f>'Reported burning'!C3340</f>
        <v>0</v>
      </c>
      <c r="D3340" s="156">
        <f>'Reported burning'!D3340</f>
        <v>0</v>
      </c>
      <c r="E3340" s="156">
        <f>'Reported burning'!E3340</f>
        <v>0</v>
      </c>
      <c r="F3340" s="156">
        <f>'Reported burning'!F3340</f>
        <v>0</v>
      </c>
      <c r="G3340" s="156">
        <f>'Reported burning'!G3340</f>
        <v>0</v>
      </c>
      <c r="H3340" s="156">
        <f>'Reported burning'!H3340</f>
        <v>0</v>
      </c>
      <c r="I3340" s="5"/>
    </row>
    <row r="3341" spans="1:9">
      <c r="A3341" s="156">
        <f>'Reported burning'!A3341</f>
        <v>0</v>
      </c>
      <c r="B3341" s="156">
        <f>'Reported burning'!B3341</f>
        <v>0</v>
      </c>
      <c r="C3341" s="156">
        <f>'Reported burning'!C3341</f>
        <v>0</v>
      </c>
      <c r="D3341" s="156">
        <f>'Reported burning'!D3341</f>
        <v>0</v>
      </c>
      <c r="E3341" s="156">
        <f>'Reported burning'!E3341</f>
        <v>0</v>
      </c>
      <c r="F3341" s="156">
        <f>'Reported burning'!F3341</f>
        <v>0</v>
      </c>
      <c r="G3341" s="156">
        <f>'Reported burning'!G3341</f>
        <v>0</v>
      </c>
      <c r="H3341" s="156">
        <f>'Reported burning'!H3341</f>
        <v>0</v>
      </c>
      <c r="I3341" s="5"/>
    </row>
    <row r="3342" spans="1:9">
      <c r="A3342" s="156">
        <f>'Reported burning'!A3342</f>
        <v>0</v>
      </c>
      <c r="B3342" s="156">
        <f>'Reported burning'!B3342</f>
        <v>0</v>
      </c>
      <c r="C3342" s="156">
        <f>'Reported burning'!C3342</f>
        <v>0</v>
      </c>
      <c r="D3342" s="156">
        <f>'Reported burning'!D3342</f>
        <v>0</v>
      </c>
      <c r="E3342" s="156">
        <f>'Reported burning'!E3342</f>
        <v>0</v>
      </c>
      <c r="F3342" s="156">
        <f>'Reported burning'!F3342</f>
        <v>0</v>
      </c>
      <c r="G3342" s="156">
        <f>'Reported burning'!G3342</f>
        <v>0</v>
      </c>
      <c r="H3342" s="156">
        <f>'Reported burning'!H3342</f>
        <v>0</v>
      </c>
      <c r="I3342" s="5"/>
    </row>
    <row r="3343" spans="1:9">
      <c r="A3343" s="156">
        <f>'Reported burning'!A3343</f>
        <v>0</v>
      </c>
      <c r="B3343" s="156">
        <f>'Reported burning'!B3343</f>
        <v>0</v>
      </c>
      <c r="C3343" s="156">
        <f>'Reported burning'!C3343</f>
        <v>0</v>
      </c>
      <c r="D3343" s="156">
        <f>'Reported burning'!D3343</f>
        <v>0</v>
      </c>
      <c r="E3343" s="156">
        <f>'Reported burning'!E3343</f>
        <v>0</v>
      </c>
      <c r="F3343" s="156">
        <f>'Reported burning'!F3343</f>
        <v>0</v>
      </c>
      <c r="G3343" s="156">
        <f>'Reported burning'!G3343</f>
        <v>0</v>
      </c>
      <c r="H3343" s="156">
        <f>'Reported burning'!H3343</f>
        <v>0</v>
      </c>
      <c r="I3343" s="5"/>
    </row>
    <row r="3344" spans="1:9">
      <c r="A3344" s="156">
        <f>'Reported burning'!A3344</f>
        <v>0</v>
      </c>
      <c r="B3344" s="156">
        <f>'Reported burning'!B3344</f>
        <v>0</v>
      </c>
      <c r="C3344" s="156">
        <f>'Reported burning'!C3344</f>
        <v>0</v>
      </c>
      <c r="D3344" s="156">
        <f>'Reported burning'!D3344</f>
        <v>0</v>
      </c>
      <c r="E3344" s="156">
        <f>'Reported burning'!E3344</f>
        <v>0</v>
      </c>
      <c r="F3344" s="156">
        <f>'Reported burning'!F3344</f>
        <v>0</v>
      </c>
      <c r="G3344" s="156">
        <f>'Reported burning'!G3344</f>
        <v>0</v>
      </c>
      <c r="H3344" s="156">
        <f>'Reported burning'!H3344</f>
        <v>0</v>
      </c>
      <c r="I3344" s="5"/>
    </row>
    <row r="3345" spans="1:9">
      <c r="A3345" s="156">
        <f>'Reported burning'!A3345</f>
        <v>0</v>
      </c>
      <c r="B3345" s="156">
        <f>'Reported burning'!B3345</f>
        <v>0</v>
      </c>
      <c r="C3345" s="156">
        <f>'Reported burning'!C3345</f>
        <v>0</v>
      </c>
      <c r="D3345" s="156">
        <f>'Reported burning'!D3345</f>
        <v>0</v>
      </c>
      <c r="E3345" s="156">
        <f>'Reported burning'!E3345</f>
        <v>0</v>
      </c>
      <c r="F3345" s="156">
        <f>'Reported burning'!F3345</f>
        <v>0</v>
      </c>
      <c r="G3345" s="156">
        <f>'Reported burning'!G3345</f>
        <v>0</v>
      </c>
      <c r="H3345" s="156">
        <f>'Reported burning'!H3345</f>
        <v>0</v>
      </c>
      <c r="I3345" s="5"/>
    </row>
    <row r="3346" spans="1:9">
      <c r="A3346" s="156">
        <f>'Reported burning'!A3346</f>
        <v>0</v>
      </c>
      <c r="B3346" s="156">
        <f>'Reported burning'!B3346</f>
        <v>0</v>
      </c>
      <c r="C3346" s="156">
        <f>'Reported burning'!C3346</f>
        <v>0</v>
      </c>
      <c r="D3346" s="156">
        <f>'Reported burning'!D3346</f>
        <v>0</v>
      </c>
      <c r="E3346" s="156">
        <f>'Reported burning'!E3346</f>
        <v>0</v>
      </c>
      <c r="F3346" s="156">
        <f>'Reported burning'!F3346</f>
        <v>0</v>
      </c>
      <c r="G3346" s="156">
        <f>'Reported burning'!G3346</f>
        <v>0</v>
      </c>
      <c r="H3346" s="156">
        <f>'Reported burning'!H3346</f>
        <v>0</v>
      </c>
      <c r="I3346" s="5"/>
    </row>
    <row r="3347" spans="1:9">
      <c r="A3347" s="156">
        <f>'Reported burning'!A3347</f>
        <v>0</v>
      </c>
      <c r="B3347" s="156">
        <f>'Reported burning'!B3347</f>
        <v>0</v>
      </c>
      <c r="C3347" s="156">
        <f>'Reported burning'!C3347</f>
        <v>0</v>
      </c>
      <c r="D3347" s="156">
        <f>'Reported burning'!D3347</f>
        <v>0</v>
      </c>
      <c r="E3347" s="156">
        <f>'Reported burning'!E3347</f>
        <v>0</v>
      </c>
      <c r="F3347" s="156">
        <f>'Reported burning'!F3347</f>
        <v>0</v>
      </c>
      <c r="G3347" s="156">
        <f>'Reported burning'!G3347</f>
        <v>0</v>
      </c>
      <c r="H3347" s="156">
        <f>'Reported burning'!H3347</f>
        <v>0</v>
      </c>
      <c r="I3347" s="5"/>
    </row>
    <row r="3348" spans="1:9">
      <c r="A3348" s="156">
        <f>'Reported burning'!A3348</f>
        <v>0</v>
      </c>
      <c r="B3348" s="156">
        <f>'Reported burning'!B3348</f>
        <v>0</v>
      </c>
      <c r="C3348" s="156">
        <f>'Reported burning'!C3348</f>
        <v>0</v>
      </c>
      <c r="D3348" s="156">
        <f>'Reported burning'!D3348</f>
        <v>0</v>
      </c>
      <c r="E3348" s="156">
        <f>'Reported burning'!E3348</f>
        <v>0</v>
      </c>
      <c r="F3348" s="156">
        <f>'Reported burning'!F3348</f>
        <v>0</v>
      </c>
      <c r="G3348" s="156">
        <f>'Reported burning'!G3348</f>
        <v>0</v>
      </c>
      <c r="H3348" s="156">
        <f>'Reported burning'!H3348</f>
        <v>0</v>
      </c>
      <c r="I3348" s="5"/>
    </row>
    <row r="3349" spans="1:9">
      <c r="A3349" s="156">
        <f>'Reported burning'!A3349</f>
        <v>0</v>
      </c>
      <c r="B3349" s="156">
        <f>'Reported burning'!B3349</f>
        <v>0</v>
      </c>
      <c r="C3349" s="156">
        <f>'Reported burning'!C3349</f>
        <v>0</v>
      </c>
      <c r="D3349" s="156">
        <f>'Reported burning'!D3349</f>
        <v>0</v>
      </c>
      <c r="E3349" s="156">
        <f>'Reported burning'!E3349</f>
        <v>0</v>
      </c>
      <c r="F3349" s="156">
        <f>'Reported burning'!F3349</f>
        <v>0</v>
      </c>
      <c r="G3349" s="156">
        <f>'Reported burning'!G3349</f>
        <v>0</v>
      </c>
      <c r="H3349" s="156">
        <f>'Reported burning'!H3349</f>
        <v>0</v>
      </c>
      <c r="I3349" s="5"/>
    </row>
    <row r="3350" spans="1:9">
      <c r="A3350" s="156">
        <f>'Reported burning'!A3350</f>
        <v>0</v>
      </c>
      <c r="B3350" s="156">
        <f>'Reported burning'!B3350</f>
        <v>0</v>
      </c>
      <c r="C3350" s="156">
        <f>'Reported burning'!C3350</f>
        <v>0</v>
      </c>
      <c r="D3350" s="156">
        <f>'Reported burning'!D3350</f>
        <v>0</v>
      </c>
      <c r="E3350" s="156">
        <f>'Reported burning'!E3350</f>
        <v>0</v>
      </c>
      <c r="F3350" s="156">
        <f>'Reported burning'!F3350</f>
        <v>0</v>
      </c>
      <c r="G3350" s="156">
        <f>'Reported burning'!G3350</f>
        <v>0</v>
      </c>
      <c r="H3350" s="156">
        <f>'Reported burning'!H3350</f>
        <v>0</v>
      </c>
      <c r="I3350" s="5"/>
    </row>
    <row r="3351" spans="1:9">
      <c r="A3351" s="156">
        <f>'Reported burning'!A3351</f>
        <v>0</v>
      </c>
      <c r="B3351" s="156">
        <f>'Reported burning'!B3351</f>
        <v>0</v>
      </c>
      <c r="C3351" s="156">
        <f>'Reported burning'!C3351</f>
        <v>0</v>
      </c>
      <c r="D3351" s="156">
        <f>'Reported burning'!D3351</f>
        <v>0</v>
      </c>
      <c r="E3351" s="156">
        <f>'Reported burning'!E3351</f>
        <v>0</v>
      </c>
      <c r="F3351" s="156">
        <f>'Reported burning'!F3351</f>
        <v>0</v>
      </c>
      <c r="G3351" s="156">
        <f>'Reported burning'!G3351</f>
        <v>0</v>
      </c>
      <c r="H3351" s="156">
        <f>'Reported burning'!H3351</f>
        <v>0</v>
      </c>
      <c r="I3351" s="5"/>
    </row>
    <row r="3352" spans="1:9">
      <c r="A3352" s="156">
        <f>'Reported burning'!A3352</f>
        <v>0</v>
      </c>
      <c r="B3352" s="156">
        <f>'Reported burning'!B3352</f>
        <v>0</v>
      </c>
      <c r="C3352" s="156">
        <f>'Reported burning'!C3352</f>
        <v>0</v>
      </c>
      <c r="D3352" s="156">
        <f>'Reported burning'!D3352</f>
        <v>0</v>
      </c>
      <c r="E3352" s="156">
        <f>'Reported burning'!E3352</f>
        <v>0</v>
      </c>
      <c r="F3352" s="156">
        <f>'Reported burning'!F3352</f>
        <v>0</v>
      </c>
      <c r="G3352" s="156">
        <f>'Reported burning'!G3352</f>
        <v>0</v>
      </c>
      <c r="H3352" s="156">
        <f>'Reported burning'!H3352</f>
        <v>0</v>
      </c>
      <c r="I3352" s="5"/>
    </row>
    <row r="3353" spans="1:9">
      <c r="A3353" s="156">
        <f>'Reported burning'!A3353</f>
        <v>0</v>
      </c>
      <c r="B3353" s="156">
        <f>'Reported burning'!B3353</f>
        <v>0</v>
      </c>
      <c r="C3353" s="156">
        <f>'Reported burning'!C3353</f>
        <v>0</v>
      </c>
      <c r="D3353" s="156">
        <f>'Reported burning'!D3353</f>
        <v>0</v>
      </c>
      <c r="E3353" s="156">
        <f>'Reported burning'!E3353</f>
        <v>0</v>
      </c>
      <c r="F3353" s="156">
        <f>'Reported burning'!F3353</f>
        <v>0</v>
      </c>
      <c r="G3353" s="156">
        <f>'Reported burning'!G3353</f>
        <v>0</v>
      </c>
      <c r="H3353" s="156">
        <f>'Reported burning'!H3353</f>
        <v>0</v>
      </c>
      <c r="I3353" s="5"/>
    </row>
    <row r="3354" spans="1:9">
      <c r="A3354" s="156">
        <f>'Reported burning'!A3354</f>
        <v>0</v>
      </c>
      <c r="B3354" s="156">
        <f>'Reported burning'!B3354</f>
        <v>0</v>
      </c>
      <c r="C3354" s="156">
        <f>'Reported burning'!C3354</f>
        <v>0</v>
      </c>
      <c r="D3354" s="156">
        <f>'Reported burning'!D3354</f>
        <v>0</v>
      </c>
      <c r="E3354" s="156">
        <f>'Reported burning'!E3354</f>
        <v>0</v>
      </c>
      <c r="F3354" s="156">
        <f>'Reported burning'!F3354</f>
        <v>0</v>
      </c>
      <c r="G3354" s="156">
        <f>'Reported burning'!G3354</f>
        <v>0</v>
      </c>
      <c r="H3354" s="156">
        <f>'Reported burning'!H3354</f>
        <v>0</v>
      </c>
      <c r="I3354" s="5"/>
    </row>
    <row r="3355" spans="1:9">
      <c r="A3355" s="156">
        <f>'Reported burning'!A3355</f>
        <v>0</v>
      </c>
      <c r="B3355" s="156">
        <f>'Reported burning'!B3355</f>
        <v>0</v>
      </c>
      <c r="C3355" s="156">
        <f>'Reported burning'!C3355</f>
        <v>0</v>
      </c>
      <c r="D3355" s="156">
        <f>'Reported burning'!D3355</f>
        <v>0</v>
      </c>
      <c r="E3355" s="156">
        <f>'Reported burning'!E3355</f>
        <v>0</v>
      </c>
      <c r="F3355" s="156">
        <f>'Reported burning'!F3355</f>
        <v>0</v>
      </c>
      <c r="G3355" s="156">
        <f>'Reported burning'!G3355</f>
        <v>0</v>
      </c>
      <c r="H3355" s="156">
        <f>'Reported burning'!H3355</f>
        <v>0</v>
      </c>
      <c r="I3355" s="5"/>
    </row>
    <row r="3356" spans="1:9">
      <c r="A3356" s="156">
        <f>'Reported burning'!A3356</f>
        <v>0</v>
      </c>
      <c r="B3356" s="156">
        <f>'Reported burning'!B3356</f>
        <v>0</v>
      </c>
      <c r="C3356" s="156">
        <f>'Reported burning'!C3356</f>
        <v>0</v>
      </c>
      <c r="D3356" s="156">
        <f>'Reported burning'!D3356</f>
        <v>0</v>
      </c>
      <c r="E3356" s="156">
        <f>'Reported burning'!E3356</f>
        <v>0</v>
      </c>
      <c r="F3356" s="156">
        <f>'Reported burning'!F3356</f>
        <v>0</v>
      </c>
      <c r="G3356" s="156">
        <f>'Reported burning'!G3356</f>
        <v>0</v>
      </c>
      <c r="H3356" s="156">
        <f>'Reported burning'!H3356</f>
        <v>0</v>
      </c>
      <c r="I3356" s="5"/>
    </row>
    <row r="3357" spans="1:9">
      <c r="A3357" s="156">
        <f>'Reported burning'!A3357</f>
        <v>0</v>
      </c>
      <c r="B3357" s="156">
        <f>'Reported burning'!B3357</f>
        <v>0</v>
      </c>
      <c r="C3357" s="156">
        <f>'Reported burning'!C3357</f>
        <v>0</v>
      </c>
      <c r="D3357" s="156">
        <f>'Reported burning'!D3357</f>
        <v>0</v>
      </c>
      <c r="E3357" s="156">
        <f>'Reported burning'!E3357</f>
        <v>0</v>
      </c>
      <c r="F3357" s="156">
        <f>'Reported burning'!F3357</f>
        <v>0</v>
      </c>
      <c r="G3357" s="156">
        <f>'Reported burning'!G3357</f>
        <v>0</v>
      </c>
      <c r="H3357" s="156">
        <f>'Reported burning'!H3357</f>
        <v>0</v>
      </c>
      <c r="I3357" s="5"/>
    </row>
    <row r="3358" spans="1:9">
      <c r="A3358" s="156">
        <f>'Reported burning'!A3358</f>
        <v>0</v>
      </c>
      <c r="B3358" s="156">
        <f>'Reported burning'!B3358</f>
        <v>0</v>
      </c>
      <c r="C3358" s="156">
        <f>'Reported burning'!C3358</f>
        <v>0</v>
      </c>
      <c r="D3358" s="156">
        <f>'Reported burning'!D3358</f>
        <v>0</v>
      </c>
      <c r="E3358" s="156">
        <f>'Reported burning'!E3358</f>
        <v>0</v>
      </c>
      <c r="F3358" s="156">
        <f>'Reported burning'!F3358</f>
        <v>0</v>
      </c>
      <c r="G3358" s="156">
        <f>'Reported burning'!G3358</f>
        <v>0</v>
      </c>
      <c r="H3358" s="156">
        <f>'Reported burning'!H3358</f>
        <v>0</v>
      </c>
      <c r="I3358" s="5"/>
    </row>
    <row r="3359" spans="1:9">
      <c r="A3359" s="156">
        <f>'Reported burning'!A3359</f>
        <v>0</v>
      </c>
      <c r="B3359" s="156">
        <f>'Reported burning'!B3359</f>
        <v>0</v>
      </c>
      <c r="C3359" s="156">
        <f>'Reported burning'!C3359</f>
        <v>0</v>
      </c>
      <c r="D3359" s="156">
        <f>'Reported burning'!D3359</f>
        <v>0</v>
      </c>
      <c r="E3359" s="156">
        <f>'Reported burning'!E3359</f>
        <v>0</v>
      </c>
      <c r="F3359" s="156">
        <f>'Reported burning'!F3359</f>
        <v>0</v>
      </c>
      <c r="G3359" s="156">
        <f>'Reported burning'!G3359</f>
        <v>0</v>
      </c>
      <c r="H3359" s="156">
        <f>'Reported burning'!H3359</f>
        <v>0</v>
      </c>
      <c r="I3359" s="5"/>
    </row>
    <row r="3360" spans="1:9">
      <c r="A3360" s="156">
        <f>'Reported burning'!A3360</f>
        <v>0</v>
      </c>
      <c r="B3360" s="156">
        <f>'Reported burning'!B3360</f>
        <v>0</v>
      </c>
      <c r="C3360" s="156">
        <f>'Reported burning'!C3360</f>
        <v>0</v>
      </c>
      <c r="D3360" s="156">
        <f>'Reported burning'!D3360</f>
        <v>0</v>
      </c>
      <c r="E3360" s="156">
        <f>'Reported burning'!E3360</f>
        <v>0</v>
      </c>
      <c r="F3360" s="156">
        <f>'Reported burning'!F3360</f>
        <v>0</v>
      </c>
      <c r="G3360" s="156">
        <f>'Reported burning'!G3360</f>
        <v>0</v>
      </c>
      <c r="H3360" s="156">
        <f>'Reported burning'!H3360</f>
        <v>0</v>
      </c>
      <c r="I3360" s="5"/>
    </row>
    <row r="3361" spans="1:9">
      <c r="A3361" s="156">
        <f>'Reported burning'!A3361</f>
        <v>0</v>
      </c>
      <c r="B3361" s="156">
        <f>'Reported burning'!B3361</f>
        <v>0</v>
      </c>
      <c r="C3361" s="156">
        <f>'Reported burning'!C3361</f>
        <v>0</v>
      </c>
      <c r="D3361" s="156">
        <f>'Reported burning'!D3361</f>
        <v>0</v>
      </c>
      <c r="E3361" s="156">
        <f>'Reported burning'!E3361</f>
        <v>0</v>
      </c>
      <c r="F3361" s="156">
        <f>'Reported burning'!F3361</f>
        <v>0</v>
      </c>
      <c r="G3361" s="156">
        <f>'Reported burning'!G3361</f>
        <v>0</v>
      </c>
      <c r="H3361" s="156">
        <f>'Reported burning'!H3361</f>
        <v>0</v>
      </c>
      <c r="I3361" s="5"/>
    </row>
    <row r="3362" spans="1:9">
      <c r="A3362" s="156">
        <f>'Reported burning'!A3362</f>
        <v>0</v>
      </c>
      <c r="B3362" s="156">
        <f>'Reported burning'!B3362</f>
        <v>0</v>
      </c>
      <c r="C3362" s="156">
        <f>'Reported burning'!C3362</f>
        <v>0</v>
      </c>
      <c r="D3362" s="156">
        <f>'Reported burning'!D3362</f>
        <v>0</v>
      </c>
      <c r="E3362" s="156">
        <f>'Reported burning'!E3362</f>
        <v>0</v>
      </c>
      <c r="F3362" s="156">
        <f>'Reported burning'!F3362</f>
        <v>0</v>
      </c>
      <c r="G3362" s="156">
        <f>'Reported burning'!G3362</f>
        <v>0</v>
      </c>
      <c r="H3362" s="156">
        <f>'Reported burning'!H3362</f>
        <v>0</v>
      </c>
      <c r="I3362" s="5"/>
    </row>
    <row r="3363" spans="1:9">
      <c r="A3363" s="156">
        <f>'Reported burning'!A3363</f>
        <v>0</v>
      </c>
      <c r="B3363" s="156">
        <f>'Reported burning'!B3363</f>
        <v>0</v>
      </c>
      <c r="C3363" s="156">
        <f>'Reported burning'!C3363</f>
        <v>0</v>
      </c>
      <c r="D3363" s="156">
        <f>'Reported burning'!D3363</f>
        <v>0</v>
      </c>
      <c r="E3363" s="156">
        <f>'Reported burning'!E3363</f>
        <v>0</v>
      </c>
      <c r="F3363" s="156">
        <f>'Reported burning'!F3363</f>
        <v>0</v>
      </c>
      <c r="G3363" s="156">
        <f>'Reported burning'!G3363</f>
        <v>0</v>
      </c>
      <c r="H3363" s="156">
        <f>'Reported burning'!H3363</f>
        <v>0</v>
      </c>
      <c r="I3363" s="5"/>
    </row>
    <row r="3364" spans="1:9">
      <c r="A3364" s="156">
        <f>'Reported burning'!A3364</f>
        <v>0</v>
      </c>
      <c r="B3364" s="156">
        <f>'Reported burning'!B3364</f>
        <v>0</v>
      </c>
      <c r="C3364" s="156">
        <f>'Reported burning'!C3364</f>
        <v>0</v>
      </c>
      <c r="D3364" s="156">
        <f>'Reported burning'!D3364</f>
        <v>0</v>
      </c>
      <c r="E3364" s="156">
        <f>'Reported burning'!E3364</f>
        <v>0</v>
      </c>
      <c r="F3364" s="156">
        <f>'Reported burning'!F3364</f>
        <v>0</v>
      </c>
      <c r="G3364" s="156">
        <f>'Reported burning'!G3364</f>
        <v>0</v>
      </c>
      <c r="H3364" s="156">
        <f>'Reported burning'!H3364</f>
        <v>0</v>
      </c>
      <c r="I3364" s="5"/>
    </row>
    <row r="3365" spans="1:9">
      <c r="A3365" s="156">
        <f>'Reported burning'!A3365</f>
        <v>0</v>
      </c>
      <c r="B3365" s="156">
        <f>'Reported burning'!B3365</f>
        <v>0</v>
      </c>
      <c r="C3365" s="156">
        <f>'Reported burning'!C3365</f>
        <v>0</v>
      </c>
      <c r="D3365" s="156">
        <f>'Reported burning'!D3365</f>
        <v>0</v>
      </c>
      <c r="E3365" s="156">
        <f>'Reported burning'!E3365</f>
        <v>0</v>
      </c>
      <c r="F3365" s="156">
        <f>'Reported burning'!F3365</f>
        <v>0</v>
      </c>
      <c r="G3365" s="156">
        <f>'Reported burning'!G3365</f>
        <v>0</v>
      </c>
      <c r="H3365" s="156">
        <f>'Reported burning'!H3365</f>
        <v>0</v>
      </c>
      <c r="I3365" s="5"/>
    </row>
    <row r="3366" spans="1:9">
      <c r="A3366" s="156">
        <f>'Reported burning'!A3366</f>
        <v>0</v>
      </c>
      <c r="B3366" s="156">
        <f>'Reported burning'!B3366</f>
        <v>0</v>
      </c>
      <c r="C3366" s="156">
        <f>'Reported burning'!C3366</f>
        <v>0</v>
      </c>
      <c r="D3366" s="156">
        <f>'Reported burning'!D3366</f>
        <v>0</v>
      </c>
      <c r="E3366" s="156">
        <f>'Reported burning'!E3366</f>
        <v>0</v>
      </c>
      <c r="F3366" s="156">
        <f>'Reported burning'!F3366</f>
        <v>0</v>
      </c>
      <c r="G3366" s="156">
        <f>'Reported burning'!G3366</f>
        <v>0</v>
      </c>
      <c r="H3366" s="156">
        <f>'Reported burning'!H3366</f>
        <v>0</v>
      </c>
      <c r="I3366" s="5"/>
    </row>
    <row r="3367" spans="1:9">
      <c r="A3367" s="156">
        <f>'Reported burning'!A3367</f>
        <v>0</v>
      </c>
      <c r="B3367" s="156">
        <f>'Reported burning'!B3367</f>
        <v>0</v>
      </c>
      <c r="C3367" s="156">
        <f>'Reported burning'!C3367</f>
        <v>0</v>
      </c>
      <c r="D3367" s="156">
        <f>'Reported burning'!D3367</f>
        <v>0</v>
      </c>
      <c r="E3367" s="156">
        <f>'Reported burning'!E3367</f>
        <v>0</v>
      </c>
      <c r="F3367" s="156">
        <f>'Reported burning'!F3367</f>
        <v>0</v>
      </c>
      <c r="G3367" s="156">
        <f>'Reported burning'!G3367</f>
        <v>0</v>
      </c>
      <c r="H3367" s="156">
        <f>'Reported burning'!H3367</f>
        <v>0</v>
      </c>
      <c r="I3367" s="5"/>
    </row>
    <row r="3368" spans="1:9">
      <c r="A3368" s="156">
        <f>'Reported burning'!A3368</f>
        <v>0</v>
      </c>
      <c r="B3368" s="156">
        <f>'Reported burning'!B3368</f>
        <v>0</v>
      </c>
      <c r="C3368" s="156">
        <f>'Reported burning'!C3368</f>
        <v>0</v>
      </c>
      <c r="D3368" s="156">
        <f>'Reported burning'!D3368</f>
        <v>0</v>
      </c>
      <c r="E3368" s="156">
        <f>'Reported burning'!E3368</f>
        <v>0</v>
      </c>
      <c r="F3368" s="156">
        <f>'Reported burning'!F3368</f>
        <v>0</v>
      </c>
      <c r="G3368" s="156">
        <f>'Reported burning'!G3368</f>
        <v>0</v>
      </c>
      <c r="H3368" s="156">
        <f>'Reported burning'!H3368</f>
        <v>0</v>
      </c>
      <c r="I3368" s="5"/>
    </row>
    <row r="3369" spans="1:9">
      <c r="A3369" s="156">
        <f>'Reported burning'!A3369</f>
        <v>0</v>
      </c>
      <c r="B3369" s="156">
        <f>'Reported burning'!B3369</f>
        <v>0</v>
      </c>
      <c r="C3369" s="156">
        <f>'Reported burning'!C3369</f>
        <v>0</v>
      </c>
      <c r="D3369" s="156">
        <f>'Reported burning'!D3369</f>
        <v>0</v>
      </c>
      <c r="E3369" s="156">
        <f>'Reported burning'!E3369</f>
        <v>0</v>
      </c>
      <c r="F3369" s="156">
        <f>'Reported burning'!F3369</f>
        <v>0</v>
      </c>
      <c r="G3369" s="156">
        <f>'Reported burning'!G3369</f>
        <v>0</v>
      </c>
      <c r="H3369" s="156">
        <f>'Reported burning'!H3369</f>
        <v>0</v>
      </c>
      <c r="I3369" s="5"/>
    </row>
    <row r="3370" spans="1:9">
      <c r="A3370" s="156">
        <f>'Reported burning'!A3370</f>
        <v>0</v>
      </c>
      <c r="B3370" s="156">
        <f>'Reported burning'!B3370</f>
        <v>0</v>
      </c>
      <c r="C3370" s="156">
        <f>'Reported burning'!C3370</f>
        <v>0</v>
      </c>
      <c r="D3370" s="156">
        <f>'Reported burning'!D3370</f>
        <v>0</v>
      </c>
      <c r="E3370" s="156">
        <f>'Reported burning'!E3370</f>
        <v>0</v>
      </c>
      <c r="F3370" s="156">
        <f>'Reported burning'!F3370</f>
        <v>0</v>
      </c>
      <c r="G3370" s="156">
        <f>'Reported burning'!G3370</f>
        <v>0</v>
      </c>
      <c r="H3370" s="156">
        <f>'Reported burning'!H3370</f>
        <v>0</v>
      </c>
      <c r="I3370" s="5"/>
    </row>
    <row r="3371" spans="1:9">
      <c r="A3371" s="156">
        <f>'Reported burning'!A3371</f>
        <v>0</v>
      </c>
      <c r="B3371" s="156">
        <f>'Reported burning'!B3371</f>
        <v>0</v>
      </c>
      <c r="C3371" s="156">
        <f>'Reported burning'!C3371</f>
        <v>0</v>
      </c>
      <c r="D3371" s="156">
        <f>'Reported burning'!D3371</f>
        <v>0</v>
      </c>
      <c r="E3371" s="156">
        <f>'Reported burning'!E3371</f>
        <v>0</v>
      </c>
      <c r="F3371" s="156">
        <f>'Reported burning'!F3371</f>
        <v>0</v>
      </c>
      <c r="G3371" s="156">
        <f>'Reported burning'!G3371</f>
        <v>0</v>
      </c>
      <c r="H3371" s="156">
        <f>'Reported burning'!H3371</f>
        <v>0</v>
      </c>
      <c r="I3371" s="5"/>
    </row>
    <row r="3372" spans="1:9">
      <c r="A3372" s="156">
        <f>'Reported burning'!A3372</f>
        <v>0</v>
      </c>
      <c r="B3372" s="156">
        <f>'Reported burning'!B3372</f>
        <v>0</v>
      </c>
      <c r="C3372" s="156">
        <f>'Reported burning'!C3372</f>
        <v>0</v>
      </c>
      <c r="D3372" s="156">
        <f>'Reported burning'!D3372</f>
        <v>0</v>
      </c>
      <c r="E3372" s="156">
        <f>'Reported burning'!E3372</f>
        <v>0</v>
      </c>
      <c r="F3372" s="156">
        <f>'Reported burning'!F3372</f>
        <v>0</v>
      </c>
      <c r="G3372" s="156">
        <f>'Reported burning'!G3372</f>
        <v>0</v>
      </c>
      <c r="H3372" s="156">
        <f>'Reported burning'!H3372</f>
        <v>0</v>
      </c>
      <c r="I3372" s="5"/>
    </row>
    <row r="3373" spans="1:9">
      <c r="A3373" s="156">
        <f>'Reported burning'!A3373</f>
        <v>0</v>
      </c>
      <c r="B3373" s="156">
        <f>'Reported burning'!B3373</f>
        <v>0</v>
      </c>
      <c r="C3373" s="156">
        <f>'Reported burning'!C3373</f>
        <v>0</v>
      </c>
      <c r="D3373" s="156">
        <f>'Reported burning'!D3373</f>
        <v>0</v>
      </c>
      <c r="E3373" s="156">
        <f>'Reported burning'!E3373</f>
        <v>0</v>
      </c>
      <c r="F3373" s="156">
        <f>'Reported burning'!F3373</f>
        <v>0</v>
      </c>
      <c r="G3373" s="156">
        <f>'Reported burning'!G3373</f>
        <v>0</v>
      </c>
      <c r="H3373" s="156">
        <f>'Reported burning'!H3373</f>
        <v>0</v>
      </c>
      <c r="I3373" s="5"/>
    </row>
    <row r="3374" spans="1:9">
      <c r="A3374" s="156">
        <f>'Reported burning'!A3374</f>
        <v>0</v>
      </c>
      <c r="B3374" s="156">
        <f>'Reported burning'!B3374</f>
        <v>0</v>
      </c>
      <c r="C3374" s="156">
        <f>'Reported burning'!C3374</f>
        <v>0</v>
      </c>
      <c r="D3374" s="156">
        <f>'Reported burning'!D3374</f>
        <v>0</v>
      </c>
      <c r="E3374" s="156">
        <f>'Reported burning'!E3374</f>
        <v>0</v>
      </c>
      <c r="F3374" s="156">
        <f>'Reported burning'!F3374</f>
        <v>0</v>
      </c>
      <c r="G3374" s="156">
        <f>'Reported burning'!G3374</f>
        <v>0</v>
      </c>
      <c r="H3374" s="156">
        <f>'Reported burning'!H3374</f>
        <v>0</v>
      </c>
      <c r="I3374" s="5"/>
    </row>
    <row r="3375" spans="1:9">
      <c r="A3375" s="156">
        <f>'Reported burning'!A3375</f>
        <v>0</v>
      </c>
      <c r="B3375" s="156">
        <f>'Reported burning'!B3375</f>
        <v>0</v>
      </c>
      <c r="C3375" s="156">
        <f>'Reported burning'!C3375</f>
        <v>0</v>
      </c>
      <c r="D3375" s="156">
        <f>'Reported burning'!D3375</f>
        <v>0</v>
      </c>
      <c r="E3375" s="156">
        <f>'Reported burning'!E3375</f>
        <v>0</v>
      </c>
      <c r="F3375" s="156">
        <f>'Reported burning'!F3375</f>
        <v>0</v>
      </c>
      <c r="G3375" s="156">
        <f>'Reported burning'!G3375</f>
        <v>0</v>
      </c>
      <c r="H3375" s="156">
        <f>'Reported burning'!H3375</f>
        <v>0</v>
      </c>
      <c r="I3375" s="5"/>
    </row>
    <row r="3376" spans="1:9">
      <c r="A3376" s="156">
        <f>'Reported burning'!A3376</f>
        <v>0</v>
      </c>
      <c r="B3376" s="156">
        <f>'Reported burning'!B3376</f>
        <v>0</v>
      </c>
      <c r="C3376" s="156">
        <f>'Reported burning'!C3376</f>
        <v>0</v>
      </c>
      <c r="D3376" s="156">
        <f>'Reported burning'!D3376</f>
        <v>0</v>
      </c>
      <c r="E3376" s="156">
        <f>'Reported burning'!E3376</f>
        <v>0</v>
      </c>
      <c r="F3376" s="156">
        <f>'Reported burning'!F3376</f>
        <v>0</v>
      </c>
      <c r="G3376" s="156">
        <f>'Reported burning'!G3376</f>
        <v>0</v>
      </c>
      <c r="H3376" s="156">
        <f>'Reported burning'!H3376</f>
        <v>0</v>
      </c>
      <c r="I3376" s="5"/>
    </row>
    <row r="3377" spans="1:9">
      <c r="A3377" s="156">
        <f>'Reported burning'!A3377</f>
        <v>0</v>
      </c>
      <c r="B3377" s="156">
        <f>'Reported burning'!B3377</f>
        <v>0</v>
      </c>
      <c r="C3377" s="156">
        <f>'Reported burning'!C3377</f>
        <v>0</v>
      </c>
      <c r="D3377" s="156">
        <f>'Reported burning'!D3377</f>
        <v>0</v>
      </c>
      <c r="E3377" s="156">
        <f>'Reported burning'!E3377</f>
        <v>0</v>
      </c>
      <c r="F3377" s="156">
        <f>'Reported burning'!F3377</f>
        <v>0</v>
      </c>
      <c r="G3377" s="156">
        <f>'Reported burning'!G3377</f>
        <v>0</v>
      </c>
      <c r="H3377" s="156">
        <f>'Reported burning'!H3377</f>
        <v>0</v>
      </c>
      <c r="I3377" s="5"/>
    </row>
    <row r="3378" spans="1:9">
      <c r="A3378" s="156">
        <f>'Reported burning'!A3378</f>
        <v>0</v>
      </c>
      <c r="B3378" s="156">
        <f>'Reported burning'!B3378</f>
        <v>0</v>
      </c>
      <c r="C3378" s="156">
        <f>'Reported burning'!C3378</f>
        <v>0</v>
      </c>
      <c r="D3378" s="156">
        <f>'Reported burning'!D3378</f>
        <v>0</v>
      </c>
      <c r="E3378" s="156">
        <f>'Reported burning'!E3378</f>
        <v>0</v>
      </c>
      <c r="F3378" s="156">
        <f>'Reported burning'!F3378</f>
        <v>0</v>
      </c>
      <c r="G3378" s="156">
        <f>'Reported burning'!G3378</f>
        <v>0</v>
      </c>
      <c r="H3378" s="156">
        <f>'Reported burning'!H3378</f>
        <v>0</v>
      </c>
      <c r="I3378" s="5"/>
    </row>
    <row r="3379" spans="1:9">
      <c r="A3379" s="156">
        <f>'Reported burning'!A3379</f>
        <v>0</v>
      </c>
      <c r="B3379" s="156">
        <f>'Reported burning'!B3379</f>
        <v>0</v>
      </c>
      <c r="C3379" s="156">
        <f>'Reported burning'!C3379</f>
        <v>0</v>
      </c>
      <c r="D3379" s="156">
        <f>'Reported burning'!D3379</f>
        <v>0</v>
      </c>
      <c r="E3379" s="156">
        <f>'Reported burning'!E3379</f>
        <v>0</v>
      </c>
      <c r="F3379" s="156">
        <f>'Reported burning'!F3379</f>
        <v>0</v>
      </c>
      <c r="G3379" s="156">
        <f>'Reported burning'!G3379</f>
        <v>0</v>
      </c>
      <c r="H3379" s="156">
        <f>'Reported burning'!H3379</f>
        <v>0</v>
      </c>
      <c r="I3379" s="5"/>
    </row>
    <row r="3380" spans="1:9">
      <c r="A3380" s="156">
        <f>'Reported burning'!A3380</f>
        <v>0</v>
      </c>
      <c r="B3380" s="156">
        <f>'Reported burning'!B3380</f>
        <v>0</v>
      </c>
      <c r="C3380" s="156">
        <f>'Reported burning'!C3380</f>
        <v>0</v>
      </c>
      <c r="D3380" s="156">
        <f>'Reported burning'!D3380</f>
        <v>0</v>
      </c>
      <c r="E3380" s="156">
        <f>'Reported burning'!E3380</f>
        <v>0</v>
      </c>
      <c r="F3380" s="156">
        <f>'Reported burning'!F3380</f>
        <v>0</v>
      </c>
      <c r="G3380" s="156">
        <f>'Reported burning'!G3380</f>
        <v>0</v>
      </c>
      <c r="H3380" s="156">
        <f>'Reported burning'!H3380</f>
        <v>0</v>
      </c>
      <c r="I3380" s="5"/>
    </row>
    <row r="3381" spans="1:9">
      <c r="A3381" s="156">
        <f>'Reported burning'!A3381</f>
        <v>0</v>
      </c>
      <c r="B3381" s="156">
        <f>'Reported burning'!B3381</f>
        <v>0</v>
      </c>
      <c r="C3381" s="156">
        <f>'Reported burning'!C3381</f>
        <v>0</v>
      </c>
      <c r="D3381" s="156">
        <f>'Reported burning'!D3381</f>
        <v>0</v>
      </c>
      <c r="E3381" s="156">
        <f>'Reported burning'!E3381</f>
        <v>0</v>
      </c>
      <c r="F3381" s="156">
        <f>'Reported burning'!F3381</f>
        <v>0</v>
      </c>
      <c r="G3381" s="156">
        <f>'Reported burning'!G3381</f>
        <v>0</v>
      </c>
      <c r="H3381" s="156">
        <f>'Reported burning'!H3381</f>
        <v>0</v>
      </c>
      <c r="I3381" s="5"/>
    </row>
    <row r="3382" spans="1:9">
      <c r="A3382" s="156">
        <f>'Reported burning'!A3382</f>
        <v>0</v>
      </c>
      <c r="B3382" s="156">
        <f>'Reported burning'!B3382</f>
        <v>0</v>
      </c>
      <c r="C3382" s="156">
        <f>'Reported burning'!C3382</f>
        <v>0</v>
      </c>
      <c r="D3382" s="156">
        <f>'Reported burning'!D3382</f>
        <v>0</v>
      </c>
      <c r="E3382" s="156">
        <f>'Reported burning'!E3382</f>
        <v>0</v>
      </c>
      <c r="F3382" s="156">
        <f>'Reported burning'!F3382</f>
        <v>0</v>
      </c>
      <c r="G3382" s="156">
        <f>'Reported burning'!G3382</f>
        <v>0</v>
      </c>
      <c r="H3382" s="156">
        <f>'Reported burning'!H3382</f>
        <v>0</v>
      </c>
      <c r="I3382" s="5"/>
    </row>
    <row r="3383" spans="1:9">
      <c r="A3383" s="156">
        <f>'Reported burning'!A3383</f>
        <v>0</v>
      </c>
      <c r="B3383" s="156">
        <f>'Reported burning'!B3383</f>
        <v>0</v>
      </c>
      <c r="C3383" s="156">
        <f>'Reported burning'!C3383</f>
        <v>0</v>
      </c>
      <c r="D3383" s="156">
        <f>'Reported burning'!D3383</f>
        <v>0</v>
      </c>
      <c r="E3383" s="156">
        <f>'Reported burning'!E3383</f>
        <v>0</v>
      </c>
      <c r="F3383" s="156">
        <f>'Reported burning'!F3383</f>
        <v>0</v>
      </c>
      <c r="G3383" s="156">
        <f>'Reported burning'!G3383</f>
        <v>0</v>
      </c>
      <c r="H3383" s="156">
        <f>'Reported burning'!H3383</f>
        <v>0</v>
      </c>
      <c r="I3383" s="5"/>
    </row>
    <row r="3384" spans="1:9">
      <c r="A3384" s="156">
        <f>'Reported burning'!A3384</f>
        <v>0</v>
      </c>
      <c r="B3384" s="156">
        <f>'Reported burning'!B3384</f>
        <v>0</v>
      </c>
      <c r="C3384" s="156">
        <f>'Reported burning'!C3384</f>
        <v>0</v>
      </c>
      <c r="D3384" s="156">
        <f>'Reported burning'!D3384</f>
        <v>0</v>
      </c>
      <c r="E3384" s="156">
        <f>'Reported burning'!E3384</f>
        <v>0</v>
      </c>
      <c r="F3384" s="156">
        <f>'Reported burning'!F3384</f>
        <v>0</v>
      </c>
      <c r="G3384" s="156">
        <f>'Reported burning'!G3384</f>
        <v>0</v>
      </c>
      <c r="H3384" s="156">
        <f>'Reported burning'!H3384</f>
        <v>0</v>
      </c>
      <c r="I3384" s="5"/>
    </row>
    <row r="3385" spans="1:9">
      <c r="A3385" s="156">
        <f>'Reported burning'!A3385</f>
        <v>0</v>
      </c>
      <c r="B3385" s="156">
        <f>'Reported burning'!B3385</f>
        <v>0</v>
      </c>
      <c r="C3385" s="156">
        <f>'Reported burning'!C3385</f>
        <v>0</v>
      </c>
      <c r="D3385" s="156">
        <f>'Reported burning'!D3385</f>
        <v>0</v>
      </c>
      <c r="E3385" s="156">
        <f>'Reported burning'!E3385</f>
        <v>0</v>
      </c>
      <c r="F3385" s="156">
        <f>'Reported burning'!F3385</f>
        <v>0</v>
      </c>
      <c r="G3385" s="156">
        <f>'Reported burning'!G3385</f>
        <v>0</v>
      </c>
      <c r="H3385" s="156">
        <f>'Reported burning'!H3385</f>
        <v>0</v>
      </c>
      <c r="I3385" s="5"/>
    </row>
    <row r="3386" spans="1:9">
      <c r="A3386" s="156">
        <f>'Reported burning'!A3386</f>
        <v>0</v>
      </c>
      <c r="B3386" s="156">
        <f>'Reported burning'!B3386</f>
        <v>0</v>
      </c>
      <c r="C3386" s="156">
        <f>'Reported burning'!C3386</f>
        <v>0</v>
      </c>
      <c r="D3386" s="156">
        <f>'Reported burning'!D3386</f>
        <v>0</v>
      </c>
      <c r="E3386" s="156">
        <f>'Reported burning'!E3386</f>
        <v>0</v>
      </c>
      <c r="F3386" s="156">
        <f>'Reported burning'!F3386</f>
        <v>0</v>
      </c>
      <c r="G3386" s="156">
        <f>'Reported burning'!G3386</f>
        <v>0</v>
      </c>
      <c r="H3386" s="156">
        <f>'Reported burning'!H3386</f>
        <v>0</v>
      </c>
      <c r="I3386" s="5"/>
    </row>
    <row r="3387" spans="1:9">
      <c r="A3387" s="156">
        <f>'Reported burning'!A3387</f>
        <v>0</v>
      </c>
      <c r="B3387" s="156">
        <f>'Reported burning'!B3387</f>
        <v>0</v>
      </c>
      <c r="C3387" s="156">
        <f>'Reported burning'!C3387</f>
        <v>0</v>
      </c>
      <c r="D3387" s="156">
        <f>'Reported burning'!D3387</f>
        <v>0</v>
      </c>
      <c r="E3387" s="156">
        <f>'Reported burning'!E3387</f>
        <v>0</v>
      </c>
      <c r="F3387" s="156">
        <f>'Reported burning'!F3387</f>
        <v>0</v>
      </c>
      <c r="G3387" s="156">
        <f>'Reported burning'!G3387</f>
        <v>0</v>
      </c>
      <c r="H3387" s="156">
        <f>'Reported burning'!H3387</f>
        <v>0</v>
      </c>
      <c r="I3387" s="5"/>
    </row>
    <row r="3388" spans="1:9">
      <c r="A3388" s="156">
        <f>'Reported burning'!A3388</f>
        <v>0</v>
      </c>
      <c r="B3388" s="156">
        <f>'Reported burning'!B3388</f>
        <v>0</v>
      </c>
      <c r="C3388" s="156">
        <f>'Reported burning'!C3388</f>
        <v>0</v>
      </c>
      <c r="D3388" s="156">
        <f>'Reported burning'!D3388</f>
        <v>0</v>
      </c>
      <c r="E3388" s="156">
        <f>'Reported burning'!E3388</f>
        <v>0</v>
      </c>
      <c r="F3388" s="156">
        <f>'Reported burning'!F3388</f>
        <v>0</v>
      </c>
      <c r="G3388" s="156">
        <f>'Reported burning'!G3388</f>
        <v>0</v>
      </c>
      <c r="H3388" s="156">
        <f>'Reported burning'!H3388</f>
        <v>0</v>
      </c>
      <c r="I3388" s="5"/>
    </row>
    <row r="3389" spans="1:9">
      <c r="A3389" s="156">
        <f>'Reported burning'!A3389</f>
        <v>0</v>
      </c>
      <c r="B3389" s="156">
        <f>'Reported burning'!B3389</f>
        <v>0</v>
      </c>
      <c r="C3389" s="156">
        <f>'Reported burning'!C3389</f>
        <v>0</v>
      </c>
      <c r="D3389" s="156">
        <f>'Reported burning'!D3389</f>
        <v>0</v>
      </c>
      <c r="E3389" s="156">
        <f>'Reported burning'!E3389</f>
        <v>0</v>
      </c>
      <c r="F3389" s="156">
        <f>'Reported burning'!F3389</f>
        <v>0</v>
      </c>
      <c r="G3389" s="156">
        <f>'Reported burning'!G3389</f>
        <v>0</v>
      </c>
      <c r="H3389" s="156">
        <f>'Reported burning'!H3389</f>
        <v>0</v>
      </c>
      <c r="I3389" s="5"/>
    </row>
    <row r="3390" spans="1:9">
      <c r="A3390" s="156">
        <f>'Reported burning'!A3390</f>
        <v>0</v>
      </c>
      <c r="B3390" s="156">
        <f>'Reported burning'!B3390</f>
        <v>0</v>
      </c>
      <c r="C3390" s="156">
        <f>'Reported burning'!C3390</f>
        <v>0</v>
      </c>
      <c r="D3390" s="156">
        <f>'Reported burning'!D3390</f>
        <v>0</v>
      </c>
      <c r="E3390" s="156">
        <f>'Reported burning'!E3390</f>
        <v>0</v>
      </c>
      <c r="F3390" s="156">
        <f>'Reported burning'!F3390</f>
        <v>0</v>
      </c>
      <c r="G3390" s="156">
        <f>'Reported burning'!G3390</f>
        <v>0</v>
      </c>
      <c r="H3390" s="156">
        <f>'Reported burning'!H3390</f>
        <v>0</v>
      </c>
      <c r="I3390" s="5"/>
    </row>
    <row r="3391" spans="1:9">
      <c r="A3391" s="156">
        <f>'Reported burning'!A3391</f>
        <v>0</v>
      </c>
      <c r="B3391" s="156">
        <f>'Reported burning'!B3391</f>
        <v>0</v>
      </c>
      <c r="C3391" s="156">
        <f>'Reported burning'!C3391</f>
        <v>0</v>
      </c>
      <c r="D3391" s="156">
        <f>'Reported burning'!D3391</f>
        <v>0</v>
      </c>
      <c r="E3391" s="156">
        <f>'Reported burning'!E3391</f>
        <v>0</v>
      </c>
      <c r="F3391" s="156">
        <f>'Reported burning'!F3391</f>
        <v>0</v>
      </c>
      <c r="G3391" s="156">
        <f>'Reported burning'!G3391</f>
        <v>0</v>
      </c>
      <c r="H3391" s="156">
        <f>'Reported burning'!H3391</f>
        <v>0</v>
      </c>
      <c r="I3391" s="5"/>
    </row>
    <row r="3392" spans="1:9">
      <c r="A3392" s="156">
        <f>'Reported burning'!A3392</f>
        <v>0</v>
      </c>
      <c r="B3392" s="156">
        <f>'Reported burning'!B3392</f>
        <v>0</v>
      </c>
      <c r="C3392" s="156">
        <f>'Reported burning'!C3392</f>
        <v>0</v>
      </c>
      <c r="D3392" s="156">
        <f>'Reported burning'!D3392</f>
        <v>0</v>
      </c>
      <c r="E3392" s="156">
        <f>'Reported burning'!E3392</f>
        <v>0</v>
      </c>
      <c r="F3392" s="156">
        <f>'Reported burning'!F3392</f>
        <v>0</v>
      </c>
      <c r="G3392" s="156">
        <f>'Reported burning'!G3392</f>
        <v>0</v>
      </c>
      <c r="H3392" s="156">
        <f>'Reported burning'!H3392</f>
        <v>0</v>
      </c>
      <c r="I3392" s="5"/>
    </row>
    <row r="3393" spans="1:9">
      <c r="A3393" s="156">
        <f>'Reported burning'!A3393</f>
        <v>0</v>
      </c>
      <c r="B3393" s="156">
        <f>'Reported burning'!B3393</f>
        <v>0</v>
      </c>
      <c r="C3393" s="156">
        <f>'Reported burning'!C3393</f>
        <v>0</v>
      </c>
      <c r="D3393" s="156">
        <f>'Reported burning'!D3393</f>
        <v>0</v>
      </c>
      <c r="E3393" s="156">
        <f>'Reported burning'!E3393</f>
        <v>0</v>
      </c>
      <c r="F3393" s="156">
        <f>'Reported burning'!F3393</f>
        <v>0</v>
      </c>
      <c r="G3393" s="156">
        <f>'Reported burning'!G3393</f>
        <v>0</v>
      </c>
      <c r="H3393" s="156">
        <f>'Reported burning'!H3393</f>
        <v>0</v>
      </c>
      <c r="I3393" s="5"/>
    </row>
    <row r="3394" spans="1:9">
      <c r="A3394" s="156">
        <f>'Reported burning'!A3394</f>
        <v>0</v>
      </c>
      <c r="B3394" s="156">
        <f>'Reported burning'!B3394</f>
        <v>0</v>
      </c>
      <c r="C3394" s="156">
        <f>'Reported burning'!C3394</f>
        <v>0</v>
      </c>
      <c r="D3394" s="156">
        <f>'Reported burning'!D3394</f>
        <v>0</v>
      </c>
      <c r="E3394" s="156">
        <f>'Reported burning'!E3394</f>
        <v>0</v>
      </c>
      <c r="F3394" s="156">
        <f>'Reported burning'!F3394</f>
        <v>0</v>
      </c>
      <c r="G3394" s="156">
        <f>'Reported burning'!G3394</f>
        <v>0</v>
      </c>
      <c r="H3394" s="156">
        <f>'Reported burning'!H3394</f>
        <v>0</v>
      </c>
      <c r="I3394" s="5"/>
    </row>
    <row r="3395" spans="1:9">
      <c r="A3395" s="156">
        <f>'Reported burning'!A3395</f>
        <v>0</v>
      </c>
      <c r="B3395" s="156">
        <f>'Reported burning'!B3395</f>
        <v>0</v>
      </c>
      <c r="C3395" s="156">
        <f>'Reported burning'!C3395</f>
        <v>0</v>
      </c>
      <c r="D3395" s="156">
        <f>'Reported burning'!D3395</f>
        <v>0</v>
      </c>
      <c r="E3395" s="156">
        <f>'Reported burning'!E3395</f>
        <v>0</v>
      </c>
      <c r="F3395" s="156">
        <f>'Reported burning'!F3395</f>
        <v>0</v>
      </c>
      <c r="G3395" s="156">
        <f>'Reported burning'!G3395</f>
        <v>0</v>
      </c>
      <c r="H3395" s="156">
        <f>'Reported burning'!H3395</f>
        <v>0</v>
      </c>
      <c r="I3395" s="5"/>
    </row>
    <row r="3396" spans="1:9">
      <c r="A3396" s="156">
        <f>'Reported burning'!A3396</f>
        <v>0</v>
      </c>
      <c r="B3396" s="156">
        <f>'Reported burning'!B3396</f>
        <v>0</v>
      </c>
      <c r="C3396" s="156">
        <f>'Reported burning'!C3396</f>
        <v>0</v>
      </c>
      <c r="D3396" s="156">
        <f>'Reported burning'!D3396</f>
        <v>0</v>
      </c>
      <c r="E3396" s="156">
        <f>'Reported burning'!E3396</f>
        <v>0</v>
      </c>
      <c r="F3396" s="156">
        <f>'Reported burning'!F3396</f>
        <v>0</v>
      </c>
      <c r="G3396" s="156">
        <f>'Reported burning'!G3396</f>
        <v>0</v>
      </c>
      <c r="H3396" s="156">
        <f>'Reported burning'!H3396</f>
        <v>0</v>
      </c>
      <c r="I3396" s="5"/>
    </row>
    <row r="3397" spans="1:9">
      <c r="A3397" s="156">
        <f>'Reported burning'!A3397</f>
        <v>0</v>
      </c>
      <c r="B3397" s="156">
        <f>'Reported burning'!B3397</f>
        <v>0</v>
      </c>
      <c r="C3397" s="156">
        <f>'Reported burning'!C3397</f>
        <v>0</v>
      </c>
      <c r="D3397" s="156">
        <f>'Reported burning'!D3397</f>
        <v>0</v>
      </c>
      <c r="E3397" s="156">
        <f>'Reported burning'!E3397</f>
        <v>0</v>
      </c>
      <c r="F3397" s="156">
        <f>'Reported burning'!F3397</f>
        <v>0</v>
      </c>
      <c r="G3397" s="156">
        <f>'Reported burning'!G3397</f>
        <v>0</v>
      </c>
      <c r="H3397" s="156">
        <f>'Reported burning'!H3397</f>
        <v>0</v>
      </c>
      <c r="I3397" s="5"/>
    </row>
    <row r="3398" spans="1:9">
      <c r="A3398" s="156">
        <f>'Reported burning'!A3398</f>
        <v>0</v>
      </c>
      <c r="B3398" s="156">
        <f>'Reported burning'!B3398</f>
        <v>0</v>
      </c>
      <c r="C3398" s="156">
        <f>'Reported burning'!C3398</f>
        <v>0</v>
      </c>
      <c r="D3398" s="156">
        <f>'Reported burning'!D3398</f>
        <v>0</v>
      </c>
      <c r="E3398" s="156">
        <f>'Reported burning'!E3398</f>
        <v>0</v>
      </c>
      <c r="F3398" s="156">
        <f>'Reported burning'!F3398</f>
        <v>0</v>
      </c>
      <c r="G3398" s="156">
        <f>'Reported burning'!G3398</f>
        <v>0</v>
      </c>
      <c r="H3398" s="156">
        <f>'Reported burning'!H3398</f>
        <v>0</v>
      </c>
      <c r="I3398" s="5"/>
    </row>
    <row r="3399" spans="1:9">
      <c r="A3399" s="156">
        <f>'Reported burning'!A3399</f>
        <v>0</v>
      </c>
      <c r="B3399" s="156">
        <f>'Reported burning'!B3399</f>
        <v>0</v>
      </c>
      <c r="C3399" s="156">
        <f>'Reported burning'!C3399</f>
        <v>0</v>
      </c>
      <c r="D3399" s="156">
        <f>'Reported burning'!D3399</f>
        <v>0</v>
      </c>
      <c r="E3399" s="156">
        <f>'Reported burning'!E3399</f>
        <v>0</v>
      </c>
      <c r="F3399" s="156">
        <f>'Reported burning'!F3399</f>
        <v>0</v>
      </c>
      <c r="G3399" s="156">
        <f>'Reported burning'!G3399</f>
        <v>0</v>
      </c>
      <c r="H3399" s="156">
        <f>'Reported burning'!H3399</f>
        <v>0</v>
      </c>
      <c r="I3399" s="5"/>
    </row>
    <row r="3400" spans="1:9">
      <c r="A3400" s="156">
        <f>'Reported burning'!A3400</f>
        <v>0</v>
      </c>
      <c r="B3400" s="156">
        <f>'Reported burning'!B3400</f>
        <v>0</v>
      </c>
      <c r="C3400" s="156">
        <f>'Reported burning'!C3400</f>
        <v>0</v>
      </c>
      <c r="D3400" s="156">
        <f>'Reported burning'!D3400</f>
        <v>0</v>
      </c>
      <c r="E3400" s="156">
        <f>'Reported burning'!E3400</f>
        <v>0</v>
      </c>
      <c r="F3400" s="156">
        <f>'Reported burning'!F3400</f>
        <v>0</v>
      </c>
      <c r="G3400" s="156">
        <f>'Reported burning'!G3400</f>
        <v>0</v>
      </c>
      <c r="H3400" s="156">
        <f>'Reported burning'!H3400</f>
        <v>0</v>
      </c>
      <c r="I3400" s="5"/>
    </row>
    <row r="3401" spans="1:9">
      <c r="A3401" s="156">
        <f>'Reported burning'!A3401</f>
        <v>0</v>
      </c>
      <c r="B3401" s="156">
        <f>'Reported burning'!B3401</f>
        <v>0</v>
      </c>
      <c r="C3401" s="156">
        <f>'Reported burning'!C3401</f>
        <v>0</v>
      </c>
      <c r="D3401" s="156">
        <f>'Reported burning'!D3401</f>
        <v>0</v>
      </c>
      <c r="E3401" s="156">
        <f>'Reported burning'!E3401</f>
        <v>0</v>
      </c>
      <c r="F3401" s="156">
        <f>'Reported burning'!F3401</f>
        <v>0</v>
      </c>
      <c r="G3401" s="156">
        <f>'Reported burning'!G3401</f>
        <v>0</v>
      </c>
      <c r="H3401" s="156">
        <f>'Reported burning'!H3401</f>
        <v>0</v>
      </c>
      <c r="I3401" s="5"/>
    </row>
    <row r="3402" spans="1:9">
      <c r="A3402" s="156">
        <f>'Reported burning'!A3402</f>
        <v>0</v>
      </c>
      <c r="B3402" s="156">
        <f>'Reported burning'!B3402</f>
        <v>0</v>
      </c>
      <c r="C3402" s="156">
        <f>'Reported burning'!C3402</f>
        <v>0</v>
      </c>
      <c r="D3402" s="156">
        <f>'Reported burning'!D3402</f>
        <v>0</v>
      </c>
      <c r="E3402" s="156">
        <f>'Reported burning'!E3402</f>
        <v>0</v>
      </c>
      <c r="F3402" s="156">
        <f>'Reported burning'!F3402</f>
        <v>0</v>
      </c>
      <c r="G3402" s="156">
        <f>'Reported burning'!G3402</f>
        <v>0</v>
      </c>
      <c r="H3402" s="156">
        <f>'Reported burning'!H3402</f>
        <v>0</v>
      </c>
      <c r="I3402" s="5"/>
    </row>
    <row r="3403" spans="1:9">
      <c r="A3403" s="156">
        <f>'Reported burning'!A3403</f>
        <v>0</v>
      </c>
      <c r="B3403" s="156">
        <f>'Reported burning'!B3403</f>
        <v>0</v>
      </c>
      <c r="C3403" s="156">
        <f>'Reported burning'!C3403</f>
        <v>0</v>
      </c>
      <c r="D3403" s="156">
        <f>'Reported burning'!D3403</f>
        <v>0</v>
      </c>
      <c r="E3403" s="156">
        <f>'Reported burning'!E3403</f>
        <v>0</v>
      </c>
      <c r="F3403" s="156">
        <f>'Reported burning'!F3403</f>
        <v>0</v>
      </c>
      <c r="G3403" s="156">
        <f>'Reported burning'!G3403</f>
        <v>0</v>
      </c>
      <c r="H3403" s="156">
        <f>'Reported burning'!H3403</f>
        <v>0</v>
      </c>
      <c r="I3403" s="5"/>
    </row>
    <row r="3404" spans="1:9">
      <c r="A3404" s="156">
        <f>'Reported burning'!A3404</f>
        <v>0</v>
      </c>
      <c r="B3404" s="156">
        <f>'Reported burning'!B3404</f>
        <v>0</v>
      </c>
      <c r="C3404" s="156">
        <f>'Reported burning'!C3404</f>
        <v>0</v>
      </c>
      <c r="D3404" s="156">
        <f>'Reported burning'!D3404</f>
        <v>0</v>
      </c>
      <c r="E3404" s="156">
        <f>'Reported burning'!E3404</f>
        <v>0</v>
      </c>
      <c r="F3404" s="156">
        <f>'Reported burning'!F3404</f>
        <v>0</v>
      </c>
      <c r="G3404" s="156">
        <f>'Reported burning'!G3404</f>
        <v>0</v>
      </c>
      <c r="H3404" s="156">
        <f>'Reported burning'!H3404</f>
        <v>0</v>
      </c>
      <c r="I3404" s="5"/>
    </row>
    <row r="3405" spans="1:9">
      <c r="A3405" s="156">
        <f>'Reported burning'!A3405</f>
        <v>0</v>
      </c>
      <c r="B3405" s="156">
        <f>'Reported burning'!B3405</f>
        <v>0</v>
      </c>
      <c r="C3405" s="156">
        <f>'Reported burning'!C3405</f>
        <v>0</v>
      </c>
      <c r="D3405" s="156">
        <f>'Reported burning'!D3405</f>
        <v>0</v>
      </c>
      <c r="E3405" s="156">
        <f>'Reported burning'!E3405</f>
        <v>0</v>
      </c>
      <c r="F3405" s="156">
        <f>'Reported burning'!F3405</f>
        <v>0</v>
      </c>
      <c r="G3405" s="156">
        <f>'Reported burning'!G3405</f>
        <v>0</v>
      </c>
      <c r="H3405" s="156">
        <f>'Reported burning'!H3405</f>
        <v>0</v>
      </c>
      <c r="I3405" s="5"/>
    </row>
    <row r="3406" spans="1:9">
      <c r="A3406" s="156">
        <f>'Reported burning'!A3406</f>
        <v>0</v>
      </c>
      <c r="B3406" s="156">
        <f>'Reported burning'!B3406</f>
        <v>0</v>
      </c>
      <c r="C3406" s="156">
        <f>'Reported burning'!C3406</f>
        <v>0</v>
      </c>
      <c r="D3406" s="156">
        <f>'Reported burning'!D3406</f>
        <v>0</v>
      </c>
      <c r="E3406" s="156">
        <f>'Reported burning'!E3406</f>
        <v>0</v>
      </c>
      <c r="F3406" s="156">
        <f>'Reported burning'!F3406</f>
        <v>0</v>
      </c>
      <c r="G3406" s="156">
        <f>'Reported burning'!G3406</f>
        <v>0</v>
      </c>
      <c r="H3406" s="156">
        <f>'Reported burning'!H3406</f>
        <v>0</v>
      </c>
      <c r="I3406" s="5"/>
    </row>
    <row r="3407" spans="1:9">
      <c r="A3407" s="156">
        <f>'Reported burning'!A3407</f>
        <v>0</v>
      </c>
      <c r="B3407" s="156">
        <f>'Reported burning'!B3407</f>
        <v>0</v>
      </c>
      <c r="C3407" s="156">
        <f>'Reported burning'!C3407</f>
        <v>0</v>
      </c>
      <c r="D3407" s="156">
        <f>'Reported burning'!D3407</f>
        <v>0</v>
      </c>
      <c r="E3407" s="156">
        <f>'Reported burning'!E3407</f>
        <v>0</v>
      </c>
      <c r="F3407" s="156">
        <f>'Reported burning'!F3407</f>
        <v>0</v>
      </c>
      <c r="G3407" s="156">
        <f>'Reported burning'!G3407</f>
        <v>0</v>
      </c>
      <c r="H3407" s="156">
        <f>'Reported burning'!H3407</f>
        <v>0</v>
      </c>
      <c r="I3407" s="5"/>
    </row>
    <row r="3408" spans="1:9">
      <c r="A3408" s="156">
        <f>'Reported burning'!A3408</f>
        <v>0</v>
      </c>
      <c r="B3408" s="156">
        <f>'Reported burning'!B3408</f>
        <v>0</v>
      </c>
      <c r="C3408" s="156">
        <f>'Reported burning'!C3408</f>
        <v>0</v>
      </c>
      <c r="D3408" s="156">
        <f>'Reported burning'!D3408</f>
        <v>0</v>
      </c>
      <c r="E3408" s="156">
        <f>'Reported burning'!E3408</f>
        <v>0</v>
      </c>
      <c r="F3408" s="156">
        <f>'Reported burning'!F3408</f>
        <v>0</v>
      </c>
      <c r="G3408" s="156">
        <f>'Reported burning'!G3408</f>
        <v>0</v>
      </c>
      <c r="H3408" s="156">
        <f>'Reported burning'!H3408</f>
        <v>0</v>
      </c>
      <c r="I3408" s="5"/>
    </row>
    <row r="3409" spans="1:9">
      <c r="A3409" s="156">
        <f>'Reported burning'!A3409</f>
        <v>0</v>
      </c>
      <c r="B3409" s="156">
        <f>'Reported burning'!B3409</f>
        <v>0</v>
      </c>
      <c r="C3409" s="156">
        <f>'Reported burning'!C3409</f>
        <v>0</v>
      </c>
      <c r="D3409" s="156">
        <f>'Reported burning'!D3409</f>
        <v>0</v>
      </c>
      <c r="E3409" s="156">
        <f>'Reported burning'!E3409</f>
        <v>0</v>
      </c>
      <c r="F3409" s="156">
        <f>'Reported burning'!F3409</f>
        <v>0</v>
      </c>
      <c r="G3409" s="156">
        <f>'Reported burning'!G3409</f>
        <v>0</v>
      </c>
      <c r="H3409" s="156">
        <f>'Reported burning'!H3409</f>
        <v>0</v>
      </c>
      <c r="I3409" s="5"/>
    </row>
    <row r="3410" spans="1:9">
      <c r="A3410" s="156">
        <f>'Reported burning'!A3410</f>
        <v>0</v>
      </c>
      <c r="B3410" s="156">
        <f>'Reported burning'!B3410</f>
        <v>0</v>
      </c>
      <c r="C3410" s="156">
        <f>'Reported burning'!C3410</f>
        <v>0</v>
      </c>
      <c r="D3410" s="156">
        <f>'Reported burning'!D3410</f>
        <v>0</v>
      </c>
      <c r="E3410" s="156">
        <f>'Reported burning'!E3410</f>
        <v>0</v>
      </c>
      <c r="F3410" s="156">
        <f>'Reported burning'!F3410</f>
        <v>0</v>
      </c>
      <c r="G3410" s="156">
        <f>'Reported burning'!G3410</f>
        <v>0</v>
      </c>
      <c r="H3410" s="156">
        <f>'Reported burning'!H3410</f>
        <v>0</v>
      </c>
      <c r="I3410" s="5"/>
    </row>
    <row r="3411" spans="1:9">
      <c r="A3411" s="156">
        <f>'Reported burning'!A3411</f>
        <v>0</v>
      </c>
      <c r="B3411" s="156">
        <f>'Reported burning'!B3411</f>
        <v>0</v>
      </c>
      <c r="C3411" s="156">
        <f>'Reported burning'!C3411</f>
        <v>0</v>
      </c>
      <c r="D3411" s="156">
        <f>'Reported burning'!D3411</f>
        <v>0</v>
      </c>
      <c r="E3411" s="156">
        <f>'Reported burning'!E3411</f>
        <v>0</v>
      </c>
      <c r="F3411" s="156">
        <f>'Reported burning'!F3411</f>
        <v>0</v>
      </c>
      <c r="G3411" s="156">
        <f>'Reported burning'!G3411</f>
        <v>0</v>
      </c>
      <c r="H3411" s="156">
        <f>'Reported burning'!H3411</f>
        <v>0</v>
      </c>
      <c r="I3411" s="5"/>
    </row>
    <row r="3412" spans="1:9">
      <c r="A3412" s="156">
        <f>'Reported burning'!A3412</f>
        <v>0</v>
      </c>
      <c r="B3412" s="156">
        <f>'Reported burning'!B3412</f>
        <v>0</v>
      </c>
      <c r="C3412" s="156">
        <f>'Reported burning'!C3412</f>
        <v>0</v>
      </c>
      <c r="D3412" s="156">
        <f>'Reported burning'!D3412</f>
        <v>0</v>
      </c>
      <c r="E3412" s="156">
        <f>'Reported burning'!E3412</f>
        <v>0</v>
      </c>
      <c r="F3412" s="156">
        <f>'Reported burning'!F3412</f>
        <v>0</v>
      </c>
      <c r="G3412" s="156">
        <f>'Reported burning'!G3412</f>
        <v>0</v>
      </c>
      <c r="H3412" s="156">
        <f>'Reported burning'!H3412</f>
        <v>0</v>
      </c>
      <c r="I3412" s="5"/>
    </row>
    <row r="3413" spans="1:9">
      <c r="A3413" s="156">
        <f>'Reported burning'!A3413</f>
        <v>0</v>
      </c>
      <c r="B3413" s="156">
        <f>'Reported burning'!B3413</f>
        <v>0</v>
      </c>
      <c r="C3413" s="156">
        <f>'Reported burning'!C3413</f>
        <v>0</v>
      </c>
      <c r="D3413" s="156">
        <f>'Reported burning'!D3413</f>
        <v>0</v>
      </c>
      <c r="E3413" s="156">
        <f>'Reported burning'!E3413</f>
        <v>0</v>
      </c>
      <c r="F3413" s="156">
        <f>'Reported burning'!F3413</f>
        <v>0</v>
      </c>
      <c r="G3413" s="156">
        <f>'Reported burning'!G3413</f>
        <v>0</v>
      </c>
      <c r="H3413" s="156">
        <f>'Reported burning'!H3413</f>
        <v>0</v>
      </c>
      <c r="I3413" s="5"/>
    </row>
    <row r="3414" spans="1:9">
      <c r="A3414" s="156">
        <f>'Reported burning'!A3414</f>
        <v>0</v>
      </c>
      <c r="B3414" s="156">
        <f>'Reported burning'!B3414</f>
        <v>0</v>
      </c>
      <c r="C3414" s="156">
        <f>'Reported burning'!C3414</f>
        <v>0</v>
      </c>
      <c r="D3414" s="156">
        <f>'Reported burning'!D3414</f>
        <v>0</v>
      </c>
      <c r="E3414" s="156">
        <f>'Reported burning'!E3414</f>
        <v>0</v>
      </c>
      <c r="F3414" s="156">
        <f>'Reported burning'!F3414</f>
        <v>0</v>
      </c>
      <c r="G3414" s="156">
        <f>'Reported burning'!G3414</f>
        <v>0</v>
      </c>
      <c r="H3414" s="156">
        <f>'Reported burning'!H3414</f>
        <v>0</v>
      </c>
      <c r="I3414" s="5"/>
    </row>
    <row r="3415" spans="1:9">
      <c r="A3415" s="156">
        <f>'Reported burning'!A3415</f>
        <v>0</v>
      </c>
      <c r="B3415" s="156">
        <f>'Reported burning'!B3415</f>
        <v>0</v>
      </c>
      <c r="C3415" s="156">
        <f>'Reported burning'!C3415</f>
        <v>0</v>
      </c>
      <c r="D3415" s="156">
        <f>'Reported burning'!D3415</f>
        <v>0</v>
      </c>
      <c r="E3415" s="156">
        <f>'Reported burning'!E3415</f>
        <v>0</v>
      </c>
      <c r="F3415" s="156">
        <f>'Reported burning'!F3415</f>
        <v>0</v>
      </c>
      <c r="G3415" s="156">
        <f>'Reported burning'!G3415</f>
        <v>0</v>
      </c>
      <c r="H3415" s="156">
        <f>'Reported burning'!H3415</f>
        <v>0</v>
      </c>
      <c r="I3415" s="5"/>
    </row>
    <row r="3416" spans="1:9">
      <c r="A3416" s="156">
        <f>'Reported burning'!A3416</f>
        <v>0</v>
      </c>
      <c r="B3416" s="156">
        <f>'Reported burning'!B3416</f>
        <v>0</v>
      </c>
      <c r="C3416" s="156">
        <f>'Reported burning'!C3416</f>
        <v>0</v>
      </c>
      <c r="D3416" s="156">
        <f>'Reported burning'!D3416</f>
        <v>0</v>
      </c>
      <c r="E3416" s="156">
        <f>'Reported burning'!E3416</f>
        <v>0</v>
      </c>
      <c r="F3416" s="156">
        <f>'Reported burning'!F3416</f>
        <v>0</v>
      </c>
      <c r="G3416" s="156">
        <f>'Reported burning'!G3416</f>
        <v>0</v>
      </c>
      <c r="H3416" s="156">
        <f>'Reported burning'!H3416</f>
        <v>0</v>
      </c>
      <c r="I3416" s="5"/>
    </row>
    <row r="3417" spans="1:9">
      <c r="A3417" s="156">
        <f>'Reported burning'!A3417</f>
        <v>0</v>
      </c>
      <c r="B3417" s="156">
        <f>'Reported burning'!B3417</f>
        <v>0</v>
      </c>
      <c r="C3417" s="156">
        <f>'Reported burning'!C3417</f>
        <v>0</v>
      </c>
      <c r="D3417" s="156">
        <f>'Reported burning'!D3417</f>
        <v>0</v>
      </c>
      <c r="E3417" s="156">
        <f>'Reported burning'!E3417</f>
        <v>0</v>
      </c>
      <c r="F3417" s="156">
        <f>'Reported burning'!F3417</f>
        <v>0</v>
      </c>
      <c r="G3417" s="156">
        <f>'Reported burning'!G3417</f>
        <v>0</v>
      </c>
      <c r="H3417" s="156">
        <f>'Reported burning'!H3417</f>
        <v>0</v>
      </c>
      <c r="I3417" s="5"/>
    </row>
    <row r="3418" spans="1:9">
      <c r="A3418" s="156">
        <f>'Reported burning'!A3418</f>
        <v>0</v>
      </c>
      <c r="B3418" s="156">
        <f>'Reported burning'!B3418</f>
        <v>0</v>
      </c>
      <c r="C3418" s="156">
        <f>'Reported burning'!C3418</f>
        <v>0</v>
      </c>
      <c r="D3418" s="156">
        <f>'Reported burning'!D3418</f>
        <v>0</v>
      </c>
      <c r="E3418" s="156">
        <f>'Reported burning'!E3418</f>
        <v>0</v>
      </c>
      <c r="F3418" s="156">
        <f>'Reported burning'!F3418</f>
        <v>0</v>
      </c>
      <c r="G3418" s="156">
        <f>'Reported burning'!G3418</f>
        <v>0</v>
      </c>
      <c r="H3418" s="156">
        <f>'Reported burning'!H3418</f>
        <v>0</v>
      </c>
      <c r="I3418" s="5"/>
    </row>
    <row r="3419" spans="1:9">
      <c r="A3419" s="156">
        <f>'Reported burning'!A3419</f>
        <v>0</v>
      </c>
      <c r="B3419" s="156">
        <f>'Reported burning'!B3419</f>
        <v>0</v>
      </c>
      <c r="C3419" s="156">
        <f>'Reported burning'!C3419</f>
        <v>0</v>
      </c>
      <c r="D3419" s="156">
        <f>'Reported burning'!D3419</f>
        <v>0</v>
      </c>
      <c r="E3419" s="156">
        <f>'Reported burning'!E3419</f>
        <v>0</v>
      </c>
      <c r="F3419" s="156">
        <f>'Reported burning'!F3419</f>
        <v>0</v>
      </c>
      <c r="G3419" s="156">
        <f>'Reported burning'!G3419</f>
        <v>0</v>
      </c>
      <c r="H3419" s="156">
        <f>'Reported burning'!H3419</f>
        <v>0</v>
      </c>
      <c r="I3419" s="5"/>
    </row>
    <row r="3420" spans="1:9">
      <c r="A3420" s="156">
        <f>'Reported burning'!A3420</f>
        <v>0</v>
      </c>
      <c r="B3420" s="156">
        <f>'Reported burning'!B3420</f>
        <v>0</v>
      </c>
      <c r="C3420" s="156">
        <f>'Reported burning'!C3420</f>
        <v>0</v>
      </c>
      <c r="D3420" s="156">
        <f>'Reported burning'!D3420</f>
        <v>0</v>
      </c>
      <c r="E3420" s="156">
        <f>'Reported burning'!E3420</f>
        <v>0</v>
      </c>
      <c r="F3420" s="156">
        <f>'Reported burning'!F3420</f>
        <v>0</v>
      </c>
      <c r="G3420" s="156">
        <f>'Reported burning'!G3420</f>
        <v>0</v>
      </c>
      <c r="H3420" s="156">
        <f>'Reported burning'!H3420</f>
        <v>0</v>
      </c>
      <c r="I3420" s="5"/>
    </row>
    <row r="3421" spans="1:9">
      <c r="A3421" s="156">
        <f>'Reported burning'!A3421</f>
        <v>0</v>
      </c>
      <c r="B3421" s="156">
        <f>'Reported burning'!B3421</f>
        <v>0</v>
      </c>
      <c r="C3421" s="156">
        <f>'Reported burning'!C3421</f>
        <v>0</v>
      </c>
      <c r="D3421" s="156">
        <f>'Reported burning'!D3421</f>
        <v>0</v>
      </c>
      <c r="E3421" s="156">
        <f>'Reported burning'!E3421</f>
        <v>0</v>
      </c>
      <c r="F3421" s="156">
        <f>'Reported burning'!F3421</f>
        <v>0</v>
      </c>
      <c r="G3421" s="156">
        <f>'Reported burning'!G3421</f>
        <v>0</v>
      </c>
      <c r="H3421" s="156">
        <f>'Reported burning'!H3421</f>
        <v>0</v>
      </c>
      <c r="I3421" s="5"/>
    </row>
    <row r="3422" spans="1:9">
      <c r="A3422" s="156">
        <f>'Reported burning'!A3422</f>
        <v>0</v>
      </c>
      <c r="B3422" s="156">
        <f>'Reported burning'!B3422</f>
        <v>0</v>
      </c>
      <c r="C3422" s="156">
        <f>'Reported burning'!C3422</f>
        <v>0</v>
      </c>
      <c r="D3422" s="156">
        <f>'Reported burning'!D3422</f>
        <v>0</v>
      </c>
      <c r="E3422" s="156">
        <f>'Reported burning'!E3422</f>
        <v>0</v>
      </c>
      <c r="F3422" s="156">
        <f>'Reported burning'!F3422</f>
        <v>0</v>
      </c>
      <c r="G3422" s="156">
        <f>'Reported burning'!G3422</f>
        <v>0</v>
      </c>
      <c r="H3422" s="156">
        <f>'Reported burning'!H3422</f>
        <v>0</v>
      </c>
      <c r="I3422" s="5"/>
    </row>
    <row r="3423" spans="1:9">
      <c r="A3423" s="156">
        <f>'Reported burning'!A3423</f>
        <v>0</v>
      </c>
      <c r="B3423" s="156">
        <f>'Reported burning'!B3423</f>
        <v>0</v>
      </c>
      <c r="C3423" s="156">
        <f>'Reported burning'!C3423</f>
        <v>0</v>
      </c>
      <c r="D3423" s="156">
        <f>'Reported burning'!D3423</f>
        <v>0</v>
      </c>
      <c r="E3423" s="156">
        <f>'Reported burning'!E3423</f>
        <v>0</v>
      </c>
      <c r="F3423" s="156">
        <f>'Reported burning'!F3423</f>
        <v>0</v>
      </c>
      <c r="G3423" s="156">
        <f>'Reported burning'!G3423</f>
        <v>0</v>
      </c>
      <c r="H3423" s="156">
        <f>'Reported burning'!H3423</f>
        <v>0</v>
      </c>
      <c r="I3423" s="5"/>
    </row>
    <row r="3424" spans="1:9">
      <c r="A3424" s="156">
        <f>'Reported burning'!A3424</f>
        <v>0</v>
      </c>
      <c r="B3424" s="156">
        <f>'Reported burning'!B3424</f>
        <v>0</v>
      </c>
      <c r="C3424" s="156">
        <f>'Reported burning'!C3424</f>
        <v>0</v>
      </c>
      <c r="D3424" s="156">
        <f>'Reported burning'!D3424</f>
        <v>0</v>
      </c>
      <c r="E3424" s="156">
        <f>'Reported burning'!E3424</f>
        <v>0</v>
      </c>
      <c r="F3424" s="156">
        <f>'Reported burning'!F3424</f>
        <v>0</v>
      </c>
      <c r="G3424" s="156">
        <f>'Reported burning'!G3424</f>
        <v>0</v>
      </c>
      <c r="H3424" s="156">
        <f>'Reported burning'!H3424</f>
        <v>0</v>
      </c>
      <c r="I3424" s="5"/>
    </row>
    <row r="3425" spans="1:9">
      <c r="A3425" s="156">
        <f>'Reported burning'!A3425</f>
        <v>0</v>
      </c>
      <c r="B3425" s="156">
        <f>'Reported burning'!B3425</f>
        <v>0</v>
      </c>
      <c r="C3425" s="156">
        <f>'Reported burning'!C3425</f>
        <v>0</v>
      </c>
      <c r="D3425" s="156">
        <f>'Reported burning'!D3425</f>
        <v>0</v>
      </c>
      <c r="E3425" s="156">
        <f>'Reported burning'!E3425</f>
        <v>0</v>
      </c>
      <c r="F3425" s="156">
        <f>'Reported burning'!F3425</f>
        <v>0</v>
      </c>
      <c r="G3425" s="156">
        <f>'Reported burning'!G3425</f>
        <v>0</v>
      </c>
      <c r="H3425" s="156">
        <f>'Reported burning'!H3425</f>
        <v>0</v>
      </c>
      <c r="I3425" s="5"/>
    </row>
    <row r="3426" spans="1:9">
      <c r="A3426" s="156">
        <f>'Reported burning'!A3426</f>
        <v>0</v>
      </c>
      <c r="B3426" s="156">
        <f>'Reported burning'!B3426</f>
        <v>0</v>
      </c>
      <c r="C3426" s="156">
        <f>'Reported burning'!C3426</f>
        <v>0</v>
      </c>
      <c r="D3426" s="156">
        <f>'Reported burning'!D3426</f>
        <v>0</v>
      </c>
      <c r="E3426" s="156">
        <f>'Reported burning'!E3426</f>
        <v>0</v>
      </c>
      <c r="F3426" s="156">
        <f>'Reported burning'!F3426</f>
        <v>0</v>
      </c>
      <c r="G3426" s="156">
        <f>'Reported burning'!G3426</f>
        <v>0</v>
      </c>
      <c r="H3426" s="156">
        <f>'Reported burning'!H3426</f>
        <v>0</v>
      </c>
      <c r="I3426" s="5"/>
    </row>
    <row r="3427" spans="1:9">
      <c r="A3427" s="156">
        <f>'Reported burning'!A3427</f>
        <v>0</v>
      </c>
      <c r="B3427" s="156">
        <f>'Reported burning'!B3427</f>
        <v>0</v>
      </c>
      <c r="C3427" s="156">
        <f>'Reported burning'!C3427</f>
        <v>0</v>
      </c>
      <c r="D3427" s="156">
        <f>'Reported burning'!D3427</f>
        <v>0</v>
      </c>
      <c r="E3427" s="156">
        <f>'Reported burning'!E3427</f>
        <v>0</v>
      </c>
      <c r="F3427" s="156">
        <f>'Reported burning'!F3427</f>
        <v>0</v>
      </c>
      <c r="G3427" s="156">
        <f>'Reported burning'!G3427</f>
        <v>0</v>
      </c>
      <c r="H3427" s="156">
        <f>'Reported burning'!H3427</f>
        <v>0</v>
      </c>
      <c r="I3427" s="5"/>
    </row>
    <row r="3428" spans="1:9">
      <c r="A3428" s="156">
        <f>'Reported burning'!A3428</f>
        <v>0</v>
      </c>
      <c r="B3428" s="156">
        <f>'Reported burning'!B3428</f>
        <v>0</v>
      </c>
      <c r="C3428" s="156">
        <f>'Reported burning'!C3428</f>
        <v>0</v>
      </c>
      <c r="D3428" s="156">
        <f>'Reported burning'!D3428</f>
        <v>0</v>
      </c>
      <c r="E3428" s="156">
        <f>'Reported burning'!E3428</f>
        <v>0</v>
      </c>
      <c r="F3428" s="156">
        <f>'Reported burning'!F3428</f>
        <v>0</v>
      </c>
      <c r="G3428" s="156">
        <f>'Reported burning'!G3428</f>
        <v>0</v>
      </c>
      <c r="H3428" s="156">
        <f>'Reported burning'!H3428</f>
        <v>0</v>
      </c>
      <c r="I3428" s="5"/>
    </row>
    <row r="3429" spans="1:9">
      <c r="A3429" s="156">
        <f>'Reported burning'!A3429</f>
        <v>0</v>
      </c>
      <c r="B3429" s="156">
        <f>'Reported burning'!B3429</f>
        <v>0</v>
      </c>
      <c r="C3429" s="156">
        <f>'Reported burning'!C3429</f>
        <v>0</v>
      </c>
      <c r="D3429" s="156">
        <f>'Reported burning'!D3429</f>
        <v>0</v>
      </c>
      <c r="E3429" s="156">
        <f>'Reported burning'!E3429</f>
        <v>0</v>
      </c>
      <c r="F3429" s="156">
        <f>'Reported burning'!F3429</f>
        <v>0</v>
      </c>
      <c r="G3429" s="156">
        <f>'Reported burning'!G3429</f>
        <v>0</v>
      </c>
      <c r="H3429" s="156">
        <f>'Reported burning'!H3429</f>
        <v>0</v>
      </c>
      <c r="I3429" s="5"/>
    </row>
    <row r="3430" spans="1:9">
      <c r="A3430" s="156">
        <f>'Reported burning'!A3430</f>
        <v>0</v>
      </c>
      <c r="B3430" s="156">
        <f>'Reported burning'!B3430</f>
        <v>0</v>
      </c>
      <c r="C3430" s="156">
        <f>'Reported burning'!C3430</f>
        <v>0</v>
      </c>
      <c r="D3430" s="156">
        <f>'Reported burning'!D3430</f>
        <v>0</v>
      </c>
      <c r="E3430" s="156">
        <f>'Reported burning'!E3430</f>
        <v>0</v>
      </c>
      <c r="F3430" s="156">
        <f>'Reported burning'!F3430</f>
        <v>0</v>
      </c>
      <c r="G3430" s="156">
        <f>'Reported burning'!G3430</f>
        <v>0</v>
      </c>
      <c r="H3430" s="156">
        <f>'Reported burning'!H3430</f>
        <v>0</v>
      </c>
      <c r="I3430" s="5"/>
    </row>
    <row r="3431" spans="1:9">
      <c r="A3431" s="156">
        <f>'Reported burning'!A3431</f>
        <v>0</v>
      </c>
      <c r="B3431" s="156">
        <f>'Reported burning'!B3431</f>
        <v>0</v>
      </c>
      <c r="C3431" s="156">
        <f>'Reported burning'!C3431</f>
        <v>0</v>
      </c>
      <c r="D3431" s="156">
        <f>'Reported burning'!D3431</f>
        <v>0</v>
      </c>
      <c r="E3431" s="156">
        <f>'Reported burning'!E3431</f>
        <v>0</v>
      </c>
      <c r="F3431" s="156">
        <f>'Reported burning'!F3431</f>
        <v>0</v>
      </c>
      <c r="G3431" s="156">
        <f>'Reported burning'!G3431</f>
        <v>0</v>
      </c>
      <c r="H3431" s="156">
        <f>'Reported burning'!H3431</f>
        <v>0</v>
      </c>
      <c r="I3431" s="5"/>
    </row>
    <row r="3432" spans="1:9">
      <c r="A3432" s="156">
        <f>'Reported burning'!A3432</f>
        <v>0</v>
      </c>
      <c r="B3432" s="156">
        <f>'Reported burning'!B3432</f>
        <v>0</v>
      </c>
      <c r="C3432" s="156">
        <f>'Reported burning'!C3432</f>
        <v>0</v>
      </c>
      <c r="D3432" s="156">
        <f>'Reported burning'!D3432</f>
        <v>0</v>
      </c>
      <c r="E3432" s="156">
        <f>'Reported burning'!E3432</f>
        <v>0</v>
      </c>
      <c r="F3432" s="156">
        <f>'Reported burning'!F3432</f>
        <v>0</v>
      </c>
      <c r="G3432" s="156">
        <f>'Reported burning'!G3432</f>
        <v>0</v>
      </c>
      <c r="H3432" s="156">
        <f>'Reported burning'!H3432</f>
        <v>0</v>
      </c>
      <c r="I3432" s="5"/>
    </row>
    <row r="3433" spans="1:9">
      <c r="A3433" s="156">
        <f>'Reported burning'!A3433</f>
        <v>0</v>
      </c>
      <c r="B3433" s="156">
        <f>'Reported burning'!B3433</f>
        <v>0</v>
      </c>
      <c r="C3433" s="156">
        <f>'Reported burning'!C3433</f>
        <v>0</v>
      </c>
      <c r="D3433" s="156">
        <f>'Reported burning'!D3433</f>
        <v>0</v>
      </c>
      <c r="E3433" s="156">
        <f>'Reported burning'!E3433</f>
        <v>0</v>
      </c>
      <c r="F3433" s="156">
        <f>'Reported burning'!F3433</f>
        <v>0</v>
      </c>
      <c r="G3433" s="156">
        <f>'Reported burning'!G3433</f>
        <v>0</v>
      </c>
      <c r="H3433" s="156">
        <f>'Reported burning'!H3433</f>
        <v>0</v>
      </c>
      <c r="I3433" s="5"/>
    </row>
    <row r="3434" spans="1:9">
      <c r="A3434" s="156">
        <f>'Reported burning'!A3434</f>
        <v>0</v>
      </c>
      <c r="B3434" s="156">
        <f>'Reported burning'!B3434</f>
        <v>0</v>
      </c>
      <c r="C3434" s="156">
        <f>'Reported burning'!C3434</f>
        <v>0</v>
      </c>
      <c r="D3434" s="156">
        <f>'Reported burning'!D3434</f>
        <v>0</v>
      </c>
      <c r="E3434" s="156">
        <f>'Reported burning'!E3434</f>
        <v>0</v>
      </c>
      <c r="F3434" s="156">
        <f>'Reported burning'!F3434</f>
        <v>0</v>
      </c>
      <c r="G3434" s="156">
        <f>'Reported burning'!G3434</f>
        <v>0</v>
      </c>
      <c r="H3434" s="156">
        <f>'Reported burning'!H3434</f>
        <v>0</v>
      </c>
      <c r="I3434" s="5"/>
    </row>
    <row r="3435" spans="1:9">
      <c r="A3435" s="156">
        <f>'Reported burning'!A3435</f>
        <v>0</v>
      </c>
      <c r="B3435" s="156">
        <f>'Reported burning'!B3435</f>
        <v>0</v>
      </c>
      <c r="C3435" s="156">
        <f>'Reported burning'!C3435</f>
        <v>0</v>
      </c>
      <c r="D3435" s="156">
        <f>'Reported burning'!D3435</f>
        <v>0</v>
      </c>
      <c r="E3435" s="156">
        <f>'Reported burning'!E3435</f>
        <v>0</v>
      </c>
      <c r="F3435" s="156">
        <f>'Reported burning'!F3435</f>
        <v>0</v>
      </c>
      <c r="G3435" s="156">
        <f>'Reported burning'!G3435</f>
        <v>0</v>
      </c>
      <c r="H3435" s="156">
        <f>'Reported burning'!H3435</f>
        <v>0</v>
      </c>
      <c r="I3435" s="5"/>
    </row>
    <row r="3436" spans="1:9">
      <c r="A3436" s="156">
        <f>'Reported burning'!A3436</f>
        <v>0</v>
      </c>
      <c r="B3436" s="156">
        <f>'Reported burning'!B3436</f>
        <v>0</v>
      </c>
      <c r="C3436" s="156">
        <f>'Reported burning'!C3436</f>
        <v>0</v>
      </c>
      <c r="D3436" s="156">
        <f>'Reported burning'!D3436</f>
        <v>0</v>
      </c>
      <c r="E3436" s="156">
        <f>'Reported burning'!E3436</f>
        <v>0</v>
      </c>
      <c r="F3436" s="156">
        <f>'Reported burning'!F3436</f>
        <v>0</v>
      </c>
      <c r="G3436" s="156">
        <f>'Reported burning'!G3436</f>
        <v>0</v>
      </c>
      <c r="H3436" s="156">
        <f>'Reported burning'!H3436</f>
        <v>0</v>
      </c>
      <c r="I3436" s="5"/>
    </row>
    <row r="3437" spans="1:9">
      <c r="A3437" s="156">
        <f>'Reported burning'!A3437</f>
        <v>0</v>
      </c>
      <c r="B3437" s="156">
        <f>'Reported burning'!B3437</f>
        <v>0</v>
      </c>
      <c r="C3437" s="156">
        <f>'Reported burning'!C3437</f>
        <v>0</v>
      </c>
      <c r="D3437" s="156">
        <f>'Reported burning'!D3437</f>
        <v>0</v>
      </c>
      <c r="E3437" s="156">
        <f>'Reported burning'!E3437</f>
        <v>0</v>
      </c>
      <c r="F3437" s="156">
        <f>'Reported burning'!F3437</f>
        <v>0</v>
      </c>
      <c r="G3437" s="156">
        <f>'Reported burning'!G3437</f>
        <v>0</v>
      </c>
      <c r="H3437" s="156">
        <f>'Reported burning'!H3437</f>
        <v>0</v>
      </c>
      <c r="I3437" s="5"/>
    </row>
    <row r="3438" spans="1:9">
      <c r="A3438" s="156">
        <f>'Reported burning'!A3438</f>
        <v>0</v>
      </c>
      <c r="B3438" s="156">
        <f>'Reported burning'!B3438</f>
        <v>0</v>
      </c>
      <c r="C3438" s="156">
        <f>'Reported burning'!C3438</f>
        <v>0</v>
      </c>
      <c r="D3438" s="156">
        <f>'Reported burning'!D3438</f>
        <v>0</v>
      </c>
      <c r="E3438" s="156">
        <f>'Reported burning'!E3438</f>
        <v>0</v>
      </c>
      <c r="F3438" s="156">
        <f>'Reported burning'!F3438</f>
        <v>0</v>
      </c>
      <c r="G3438" s="156">
        <f>'Reported burning'!G3438</f>
        <v>0</v>
      </c>
      <c r="H3438" s="156">
        <f>'Reported burning'!H3438</f>
        <v>0</v>
      </c>
      <c r="I3438" s="5"/>
    </row>
    <row r="3439" spans="1:9">
      <c r="A3439" s="156">
        <f>'Reported burning'!A3439</f>
        <v>0</v>
      </c>
      <c r="B3439" s="156">
        <f>'Reported burning'!B3439</f>
        <v>0</v>
      </c>
      <c r="C3439" s="156">
        <f>'Reported burning'!C3439</f>
        <v>0</v>
      </c>
      <c r="D3439" s="156">
        <f>'Reported burning'!D3439</f>
        <v>0</v>
      </c>
      <c r="E3439" s="156">
        <f>'Reported burning'!E3439</f>
        <v>0</v>
      </c>
      <c r="F3439" s="156">
        <f>'Reported burning'!F3439</f>
        <v>0</v>
      </c>
      <c r="G3439" s="156">
        <f>'Reported burning'!G3439</f>
        <v>0</v>
      </c>
      <c r="H3439" s="156">
        <f>'Reported burning'!H3439</f>
        <v>0</v>
      </c>
      <c r="I3439" s="5"/>
    </row>
    <row r="3440" spans="1:9">
      <c r="A3440" s="156">
        <f>'Reported burning'!A3440</f>
        <v>0</v>
      </c>
      <c r="B3440" s="156">
        <f>'Reported burning'!B3440</f>
        <v>0</v>
      </c>
      <c r="C3440" s="156">
        <f>'Reported burning'!C3440</f>
        <v>0</v>
      </c>
      <c r="D3440" s="156">
        <f>'Reported burning'!D3440</f>
        <v>0</v>
      </c>
      <c r="E3440" s="156">
        <f>'Reported burning'!E3440</f>
        <v>0</v>
      </c>
      <c r="F3440" s="156">
        <f>'Reported burning'!F3440</f>
        <v>0</v>
      </c>
      <c r="G3440" s="156">
        <f>'Reported burning'!G3440</f>
        <v>0</v>
      </c>
      <c r="H3440" s="156">
        <f>'Reported burning'!H3440</f>
        <v>0</v>
      </c>
      <c r="I3440" s="5"/>
    </row>
    <row r="3441" spans="1:9">
      <c r="A3441" s="156">
        <f>'Reported burning'!A3441</f>
        <v>0</v>
      </c>
      <c r="B3441" s="156">
        <f>'Reported burning'!B3441</f>
        <v>0</v>
      </c>
      <c r="C3441" s="156">
        <f>'Reported burning'!C3441</f>
        <v>0</v>
      </c>
      <c r="D3441" s="156">
        <f>'Reported burning'!D3441</f>
        <v>0</v>
      </c>
      <c r="E3441" s="156">
        <f>'Reported burning'!E3441</f>
        <v>0</v>
      </c>
      <c r="F3441" s="156">
        <f>'Reported burning'!F3441</f>
        <v>0</v>
      </c>
      <c r="G3441" s="156">
        <f>'Reported burning'!G3441</f>
        <v>0</v>
      </c>
      <c r="H3441" s="156">
        <f>'Reported burning'!H3441</f>
        <v>0</v>
      </c>
      <c r="I3441" s="5"/>
    </row>
    <row r="3442" spans="1:9">
      <c r="A3442" s="156">
        <f>'Reported burning'!A3442</f>
        <v>0</v>
      </c>
      <c r="B3442" s="156">
        <f>'Reported burning'!B3442</f>
        <v>0</v>
      </c>
      <c r="C3442" s="156">
        <f>'Reported burning'!C3442</f>
        <v>0</v>
      </c>
      <c r="D3442" s="156">
        <f>'Reported burning'!D3442</f>
        <v>0</v>
      </c>
      <c r="E3442" s="156">
        <f>'Reported burning'!E3442</f>
        <v>0</v>
      </c>
      <c r="F3442" s="156">
        <f>'Reported burning'!F3442</f>
        <v>0</v>
      </c>
      <c r="G3442" s="156">
        <f>'Reported burning'!G3442</f>
        <v>0</v>
      </c>
      <c r="H3442" s="156">
        <f>'Reported burning'!H3442</f>
        <v>0</v>
      </c>
      <c r="I3442" s="5"/>
    </row>
    <row r="3443" spans="1:9">
      <c r="A3443" s="156">
        <f>'Reported burning'!A3443</f>
        <v>0</v>
      </c>
      <c r="B3443" s="156">
        <f>'Reported burning'!B3443</f>
        <v>0</v>
      </c>
      <c r="C3443" s="156">
        <f>'Reported burning'!C3443</f>
        <v>0</v>
      </c>
      <c r="D3443" s="156">
        <f>'Reported burning'!D3443</f>
        <v>0</v>
      </c>
      <c r="E3443" s="156">
        <f>'Reported burning'!E3443</f>
        <v>0</v>
      </c>
      <c r="F3443" s="156">
        <f>'Reported burning'!F3443</f>
        <v>0</v>
      </c>
      <c r="G3443" s="156">
        <f>'Reported burning'!G3443</f>
        <v>0</v>
      </c>
      <c r="H3443" s="156">
        <f>'Reported burning'!H3443</f>
        <v>0</v>
      </c>
      <c r="I3443" s="5"/>
    </row>
    <row r="3444" spans="1:9">
      <c r="A3444" s="156">
        <f>'Reported burning'!A3444</f>
        <v>0</v>
      </c>
      <c r="B3444" s="156">
        <f>'Reported burning'!B3444</f>
        <v>0</v>
      </c>
      <c r="C3444" s="156">
        <f>'Reported burning'!C3444</f>
        <v>0</v>
      </c>
      <c r="D3444" s="156">
        <f>'Reported burning'!D3444</f>
        <v>0</v>
      </c>
      <c r="E3444" s="156">
        <f>'Reported burning'!E3444</f>
        <v>0</v>
      </c>
      <c r="F3444" s="156">
        <f>'Reported burning'!F3444</f>
        <v>0</v>
      </c>
      <c r="G3444" s="156">
        <f>'Reported burning'!G3444</f>
        <v>0</v>
      </c>
      <c r="H3444" s="156">
        <f>'Reported burning'!H3444</f>
        <v>0</v>
      </c>
      <c r="I3444" s="5"/>
    </row>
    <row r="3445" spans="1:9">
      <c r="A3445" s="156">
        <f>'Reported burning'!A3445</f>
        <v>0</v>
      </c>
      <c r="B3445" s="156">
        <f>'Reported burning'!B3445</f>
        <v>0</v>
      </c>
      <c r="C3445" s="156">
        <f>'Reported burning'!C3445</f>
        <v>0</v>
      </c>
      <c r="D3445" s="156">
        <f>'Reported burning'!D3445</f>
        <v>0</v>
      </c>
      <c r="E3445" s="156">
        <f>'Reported burning'!E3445</f>
        <v>0</v>
      </c>
      <c r="F3445" s="156">
        <f>'Reported burning'!F3445</f>
        <v>0</v>
      </c>
      <c r="G3445" s="156">
        <f>'Reported burning'!G3445</f>
        <v>0</v>
      </c>
      <c r="H3445" s="156">
        <f>'Reported burning'!H3445</f>
        <v>0</v>
      </c>
      <c r="I3445" s="5"/>
    </row>
    <row r="3446" spans="1:9">
      <c r="A3446" s="156">
        <f>'Reported burning'!A3446</f>
        <v>0</v>
      </c>
      <c r="B3446" s="156">
        <f>'Reported burning'!B3446</f>
        <v>0</v>
      </c>
      <c r="C3446" s="156">
        <f>'Reported burning'!C3446</f>
        <v>0</v>
      </c>
      <c r="D3446" s="156">
        <f>'Reported burning'!D3446</f>
        <v>0</v>
      </c>
      <c r="E3446" s="156">
        <f>'Reported burning'!E3446</f>
        <v>0</v>
      </c>
      <c r="F3446" s="156">
        <f>'Reported burning'!F3446</f>
        <v>0</v>
      </c>
      <c r="G3446" s="156">
        <f>'Reported burning'!G3446</f>
        <v>0</v>
      </c>
      <c r="H3446" s="156">
        <f>'Reported burning'!H3446</f>
        <v>0</v>
      </c>
      <c r="I3446" s="5"/>
    </row>
    <row r="3447" spans="1:9">
      <c r="A3447" s="156">
        <f>'Reported burning'!A3447</f>
        <v>0</v>
      </c>
      <c r="B3447" s="156">
        <f>'Reported burning'!B3447</f>
        <v>0</v>
      </c>
      <c r="C3447" s="156">
        <f>'Reported burning'!C3447</f>
        <v>0</v>
      </c>
      <c r="D3447" s="156">
        <f>'Reported burning'!D3447</f>
        <v>0</v>
      </c>
      <c r="E3447" s="156">
        <f>'Reported burning'!E3447</f>
        <v>0</v>
      </c>
      <c r="F3447" s="156">
        <f>'Reported burning'!F3447</f>
        <v>0</v>
      </c>
      <c r="G3447" s="156">
        <f>'Reported burning'!G3447</f>
        <v>0</v>
      </c>
      <c r="H3447" s="156">
        <f>'Reported burning'!H3447</f>
        <v>0</v>
      </c>
      <c r="I3447" s="5"/>
    </row>
    <row r="3448" spans="1:9">
      <c r="A3448" s="156">
        <f>'Reported burning'!A3448</f>
        <v>0</v>
      </c>
      <c r="B3448" s="156">
        <f>'Reported burning'!B3448</f>
        <v>0</v>
      </c>
      <c r="C3448" s="156">
        <f>'Reported burning'!C3448</f>
        <v>0</v>
      </c>
      <c r="D3448" s="156">
        <f>'Reported burning'!D3448</f>
        <v>0</v>
      </c>
      <c r="E3448" s="156">
        <f>'Reported burning'!E3448</f>
        <v>0</v>
      </c>
      <c r="F3448" s="156">
        <f>'Reported burning'!F3448</f>
        <v>0</v>
      </c>
      <c r="G3448" s="156">
        <f>'Reported burning'!G3448</f>
        <v>0</v>
      </c>
      <c r="H3448" s="156">
        <f>'Reported burning'!H3448</f>
        <v>0</v>
      </c>
      <c r="I3448" s="5"/>
    </row>
    <row r="3449" spans="1:9">
      <c r="A3449" s="156">
        <f>'Reported burning'!A3449</f>
        <v>0</v>
      </c>
      <c r="B3449" s="156">
        <f>'Reported burning'!B3449</f>
        <v>0</v>
      </c>
      <c r="C3449" s="156">
        <f>'Reported burning'!C3449</f>
        <v>0</v>
      </c>
      <c r="D3449" s="156">
        <f>'Reported burning'!D3449</f>
        <v>0</v>
      </c>
      <c r="E3449" s="156">
        <f>'Reported burning'!E3449</f>
        <v>0</v>
      </c>
      <c r="F3449" s="156">
        <f>'Reported burning'!F3449</f>
        <v>0</v>
      </c>
      <c r="G3449" s="156">
        <f>'Reported burning'!G3449</f>
        <v>0</v>
      </c>
      <c r="H3449" s="156">
        <f>'Reported burning'!H3449</f>
        <v>0</v>
      </c>
      <c r="I3449" s="5"/>
    </row>
    <row r="3450" spans="1:9">
      <c r="A3450" s="156">
        <f>'Reported burning'!A3450</f>
        <v>0</v>
      </c>
      <c r="B3450" s="156">
        <f>'Reported burning'!B3450</f>
        <v>0</v>
      </c>
      <c r="C3450" s="156">
        <f>'Reported burning'!C3450</f>
        <v>0</v>
      </c>
      <c r="D3450" s="156">
        <f>'Reported burning'!D3450</f>
        <v>0</v>
      </c>
      <c r="E3450" s="156">
        <f>'Reported burning'!E3450</f>
        <v>0</v>
      </c>
      <c r="F3450" s="156">
        <f>'Reported burning'!F3450</f>
        <v>0</v>
      </c>
      <c r="G3450" s="156">
        <f>'Reported burning'!G3450</f>
        <v>0</v>
      </c>
      <c r="H3450" s="156">
        <f>'Reported burning'!H3450</f>
        <v>0</v>
      </c>
      <c r="I3450" s="5"/>
    </row>
    <row r="3451" spans="1:9">
      <c r="A3451" s="156">
        <f>'Reported burning'!A3451</f>
        <v>0</v>
      </c>
      <c r="B3451" s="156">
        <f>'Reported burning'!B3451</f>
        <v>0</v>
      </c>
      <c r="C3451" s="156">
        <f>'Reported burning'!C3451</f>
        <v>0</v>
      </c>
      <c r="D3451" s="156">
        <f>'Reported burning'!D3451</f>
        <v>0</v>
      </c>
      <c r="E3451" s="156">
        <f>'Reported burning'!E3451</f>
        <v>0</v>
      </c>
      <c r="F3451" s="156">
        <f>'Reported burning'!F3451</f>
        <v>0</v>
      </c>
      <c r="G3451" s="156">
        <f>'Reported burning'!G3451</f>
        <v>0</v>
      </c>
      <c r="H3451" s="156">
        <f>'Reported burning'!H3451</f>
        <v>0</v>
      </c>
      <c r="I3451" s="5"/>
    </row>
    <row r="3452" spans="1:9">
      <c r="A3452" s="156">
        <f>'Reported burning'!A3452</f>
        <v>0</v>
      </c>
      <c r="B3452" s="156">
        <f>'Reported burning'!B3452</f>
        <v>0</v>
      </c>
      <c r="C3452" s="156">
        <f>'Reported burning'!C3452</f>
        <v>0</v>
      </c>
      <c r="D3452" s="156">
        <f>'Reported burning'!D3452</f>
        <v>0</v>
      </c>
      <c r="E3452" s="156">
        <f>'Reported burning'!E3452</f>
        <v>0</v>
      </c>
      <c r="F3452" s="156">
        <f>'Reported burning'!F3452</f>
        <v>0</v>
      </c>
      <c r="G3452" s="156">
        <f>'Reported burning'!G3452</f>
        <v>0</v>
      </c>
      <c r="H3452" s="156">
        <f>'Reported burning'!H3452</f>
        <v>0</v>
      </c>
      <c r="I3452" s="5"/>
    </row>
    <row r="3453" spans="1:9">
      <c r="A3453" s="156">
        <f>'Reported burning'!A3453</f>
        <v>0</v>
      </c>
      <c r="B3453" s="156">
        <f>'Reported burning'!B3453</f>
        <v>0</v>
      </c>
      <c r="C3453" s="156">
        <f>'Reported burning'!C3453</f>
        <v>0</v>
      </c>
      <c r="D3453" s="156">
        <f>'Reported burning'!D3453</f>
        <v>0</v>
      </c>
      <c r="E3453" s="156">
        <f>'Reported burning'!E3453</f>
        <v>0</v>
      </c>
      <c r="F3453" s="156">
        <f>'Reported burning'!F3453</f>
        <v>0</v>
      </c>
      <c r="G3453" s="156">
        <f>'Reported burning'!G3453</f>
        <v>0</v>
      </c>
      <c r="H3453" s="156">
        <f>'Reported burning'!H3453</f>
        <v>0</v>
      </c>
      <c r="I3453" s="5"/>
    </row>
    <row r="3454" spans="1:9">
      <c r="A3454" s="156">
        <f>'Reported burning'!A3454</f>
        <v>0</v>
      </c>
      <c r="B3454" s="156">
        <f>'Reported burning'!B3454</f>
        <v>0</v>
      </c>
      <c r="C3454" s="156">
        <f>'Reported burning'!C3454</f>
        <v>0</v>
      </c>
      <c r="D3454" s="156">
        <f>'Reported burning'!D3454</f>
        <v>0</v>
      </c>
      <c r="E3454" s="156">
        <f>'Reported burning'!E3454</f>
        <v>0</v>
      </c>
      <c r="F3454" s="156">
        <f>'Reported burning'!F3454</f>
        <v>0</v>
      </c>
      <c r="G3454" s="156">
        <f>'Reported burning'!G3454</f>
        <v>0</v>
      </c>
      <c r="H3454" s="156">
        <f>'Reported burning'!H3454</f>
        <v>0</v>
      </c>
      <c r="I3454" s="5"/>
    </row>
    <row r="3455" spans="1:9">
      <c r="A3455" s="156">
        <f>'Reported burning'!A3455</f>
        <v>0</v>
      </c>
      <c r="B3455" s="156">
        <f>'Reported burning'!B3455</f>
        <v>0</v>
      </c>
      <c r="C3455" s="156">
        <f>'Reported burning'!C3455</f>
        <v>0</v>
      </c>
      <c r="D3455" s="156">
        <f>'Reported burning'!D3455</f>
        <v>0</v>
      </c>
      <c r="E3455" s="156">
        <f>'Reported burning'!E3455</f>
        <v>0</v>
      </c>
      <c r="F3455" s="156">
        <f>'Reported burning'!F3455</f>
        <v>0</v>
      </c>
      <c r="G3455" s="156">
        <f>'Reported burning'!G3455</f>
        <v>0</v>
      </c>
      <c r="H3455" s="156">
        <f>'Reported burning'!H3455</f>
        <v>0</v>
      </c>
      <c r="I3455" s="5"/>
    </row>
    <row r="3456" spans="1:9">
      <c r="A3456" s="156">
        <f>'Reported burning'!A3456</f>
        <v>0</v>
      </c>
      <c r="B3456" s="156">
        <f>'Reported burning'!B3456</f>
        <v>0</v>
      </c>
      <c r="C3456" s="156">
        <f>'Reported burning'!C3456</f>
        <v>0</v>
      </c>
      <c r="D3456" s="156">
        <f>'Reported burning'!D3456</f>
        <v>0</v>
      </c>
      <c r="E3456" s="156">
        <f>'Reported burning'!E3456</f>
        <v>0</v>
      </c>
      <c r="F3456" s="156">
        <f>'Reported burning'!F3456</f>
        <v>0</v>
      </c>
      <c r="G3456" s="156">
        <f>'Reported burning'!G3456</f>
        <v>0</v>
      </c>
      <c r="H3456" s="156">
        <f>'Reported burning'!H3456</f>
        <v>0</v>
      </c>
      <c r="I3456" s="5"/>
    </row>
    <row r="3457" spans="1:9">
      <c r="A3457" s="156">
        <f>'Reported burning'!A3457</f>
        <v>0</v>
      </c>
      <c r="B3457" s="156">
        <f>'Reported burning'!B3457</f>
        <v>0</v>
      </c>
      <c r="C3457" s="156">
        <f>'Reported burning'!C3457</f>
        <v>0</v>
      </c>
      <c r="D3457" s="156">
        <f>'Reported burning'!D3457</f>
        <v>0</v>
      </c>
      <c r="E3457" s="156">
        <f>'Reported burning'!E3457</f>
        <v>0</v>
      </c>
      <c r="F3457" s="156">
        <f>'Reported burning'!F3457</f>
        <v>0</v>
      </c>
      <c r="G3457" s="156">
        <f>'Reported burning'!G3457</f>
        <v>0</v>
      </c>
      <c r="H3457" s="156">
        <f>'Reported burning'!H3457</f>
        <v>0</v>
      </c>
      <c r="I3457" s="5"/>
    </row>
    <row r="3458" spans="1:9">
      <c r="A3458" s="156">
        <f>'Reported burning'!A3458</f>
        <v>0</v>
      </c>
      <c r="B3458" s="156">
        <f>'Reported burning'!B3458</f>
        <v>0</v>
      </c>
      <c r="C3458" s="156">
        <f>'Reported burning'!C3458</f>
        <v>0</v>
      </c>
      <c r="D3458" s="156">
        <f>'Reported burning'!D3458</f>
        <v>0</v>
      </c>
      <c r="E3458" s="156">
        <f>'Reported burning'!E3458</f>
        <v>0</v>
      </c>
      <c r="F3458" s="156">
        <f>'Reported burning'!F3458</f>
        <v>0</v>
      </c>
      <c r="G3458" s="156">
        <f>'Reported burning'!G3458</f>
        <v>0</v>
      </c>
      <c r="H3458" s="156">
        <f>'Reported burning'!H3458</f>
        <v>0</v>
      </c>
      <c r="I3458" s="5"/>
    </row>
    <row r="3459" spans="1:9">
      <c r="A3459" s="156">
        <f>'Reported burning'!A3459</f>
        <v>0</v>
      </c>
      <c r="B3459" s="156">
        <f>'Reported burning'!B3459</f>
        <v>0</v>
      </c>
      <c r="C3459" s="156">
        <f>'Reported burning'!C3459</f>
        <v>0</v>
      </c>
      <c r="D3459" s="156">
        <f>'Reported burning'!D3459</f>
        <v>0</v>
      </c>
      <c r="E3459" s="156">
        <f>'Reported burning'!E3459</f>
        <v>0</v>
      </c>
      <c r="F3459" s="156">
        <f>'Reported burning'!F3459</f>
        <v>0</v>
      </c>
      <c r="G3459" s="156">
        <f>'Reported burning'!G3459</f>
        <v>0</v>
      </c>
      <c r="H3459" s="156">
        <f>'Reported burning'!H3459</f>
        <v>0</v>
      </c>
      <c r="I3459" s="5"/>
    </row>
    <row r="3460" spans="1:9">
      <c r="A3460" s="156">
        <f>'Reported burning'!A3460</f>
        <v>0</v>
      </c>
      <c r="B3460" s="156">
        <f>'Reported burning'!B3460</f>
        <v>0</v>
      </c>
      <c r="C3460" s="156">
        <f>'Reported burning'!C3460</f>
        <v>0</v>
      </c>
      <c r="D3460" s="156">
        <f>'Reported burning'!D3460</f>
        <v>0</v>
      </c>
      <c r="E3460" s="156">
        <f>'Reported burning'!E3460</f>
        <v>0</v>
      </c>
      <c r="F3460" s="156">
        <f>'Reported burning'!F3460</f>
        <v>0</v>
      </c>
      <c r="G3460" s="156">
        <f>'Reported burning'!G3460</f>
        <v>0</v>
      </c>
      <c r="H3460" s="156">
        <f>'Reported burning'!H3460</f>
        <v>0</v>
      </c>
      <c r="I3460" s="5"/>
    </row>
    <row r="3461" spans="1:9">
      <c r="A3461" s="156">
        <f>'Reported burning'!A3461</f>
        <v>0</v>
      </c>
      <c r="B3461" s="156">
        <f>'Reported burning'!B3461</f>
        <v>0</v>
      </c>
      <c r="C3461" s="156">
        <f>'Reported burning'!C3461</f>
        <v>0</v>
      </c>
      <c r="D3461" s="156">
        <f>'Reported burning'!D3461</f>
        <v>0</v>
      </c>
      <c r="E3461" s="156">
        <f>'Reported burning'!E3461</f>
        <v>0</v>
      </c>
      <c r="F3461" s="156">
        <f>'Reported burning'!F3461</f>
        <v>0</v>
      </c>
      <c r="G3461" s="156">
        <f>'Reported burning'!G3461</f>
        <v>0</v>
      </c>
      <c r="H3461" s="156">
        <f>'Reported burning'!H3461</f>
        <v>0</v>
      </c>
      <c r="I3461" s="5"/>
    </row>
    <row r="3462" spans="1:9">
      <c r="A3462" s="156">
        <f>'Reported burning'!A3462</f>
        <v>0</v>
      </c>
      <c r="B3462" s="156">
        <f>'Reported burning'!B3462</f>
        <v>0</v>
      </c>
      <c r="C3462" s="156">
        <f>'Reported burning'!C3462</f>
        <v>0</v>
      </c>
      <c r="D3462" s="156">
        <f>'Reported burning'!D3462</f>
        <v>0</v>
      </c>
      <c r="E3462" s="156">
        <f>'Reported burning'!E3462</f>
        <v>0</v>
      </c>
      <c r="F3462" s="156">
        <f>'Reported burning'!F3462</f>
        <v>0</v>
      </c>
      <c r="G3462" s="156">
        <f>'Reported burning'!G3462</f>
        <v>0</v>
      </c>
      <c r="H3462" s="156">
        <f>'Reported burning'!H3462</f>
        <v>0</v>
      </c>
      <c r="I3462" s="5"/>
    </row>
    <row r="3463" spans="1:9">
      <c r="A3463" s="156">
        <f>'Reported burning'!A3463</f>
        <v>0</v>
      </c>
      <c r="B3463" s="156">
        <f>'Reported burning'!B3463</f>
        <v>0</v>
      </c>
      <c r="C3463" s="156">
        <f>'Reported burning'!C3463</f>
        <v>0</v>
      </c>
      <c r="D3463" s="156">
        <f>'Reported burning'!D3463</f>
        <v>0</v>
      </c>
      <c r="E3463" s="156">
        <f>'Reported burning'!E3463</f>
        <v>0</v>
      </c>
      <c r="F3463" s="156">
        <f>'Reported burning'!F3463</f>
        <v>0</v>
      </c>
      <c r="G3463" s="156">
        <f>'Reported burning'!G3463</f>
        <v>0</v>
      </c>
      <c r="H3463" s="156">
        <f>'Reported burning'!H3463</f>
        <v>0</v>
      </c>
      <c r="I3463" s="5"/>
    </row>
    <row r="3464" spans="1:9">
      <c r="A3464" s="156">
        <f>'Reported burning'!A3464</f>
        <v>0</v>
      </c>
      <c r="B3464" s="156">
        <f>'Reported burning'!B3464</f>
        <v>0</v>
      </c>
      <c r="C3464" s="156">
        <f>'Reported burning'!C3464</f>
        <v>0</v>
      </c>
      <c r="D3464" s="156">
        <f>'Reported burning'!D3464</f>
        <v>0</v>
      </c>
      <c r="E3464" s="156">
        <f>'Reported burning'!E3464</f>
        <v>0</v>
      </c>
      <c r="F3464" s="156">
        <f>'Reported burning'!F3464</f>
        <v>0</v>
      </c>
      <c r="G3464" s="156">
        <f>'Reported burning'!G3464</f>
        <v>0</v>
      </c>
      <c r="H3464" s="156">
        <f>'Reported burning'!H3464</f>
        <v>0</v>
      </c>
      <c r="I3464" s="5"/>
    </row>
    <row r="3465" spans="1:9">
      <c r="A3465" s="156">
        <f>'Reported burning'!A3465</f>
        <v>0</v>
      </c>
      <c r="B3465" s="156">
        <f>'Reported burning'!B3465</f>
        <v>0</v>
      </c>
      <c r="C3465" s="156">
        <f>'Reported burning'!C3465</f>
        <v>0</v>
      </c>
      <c r="D3465" s="156">
        <f>'Reported burning'!D3465</f>
        <v>0</v>
      </c>
      <c r="E3465" s="156">
        <f>'Reported burning'!E3465</f>
        <v>0</v>
      </c>
      <c r="F3465" s="156">
        <f>'Reported burning'!F3465</f>
        <v>0</v>
      </c>
      <c r="G3465" s="156">
        <f>'Reported burning'!G3465</f>
        <v>0</v>
      </c>
      <c r="H3465" s="156">
        <f>'Reported burning'!H3465</f>
        <v>0</v>
      </c>
      <c r="I3465" s="5"/>
    </row>
    <row r="3466" spans="1:9">
      <c r="A3466" s="156">
        <f>'Reported burning'!A3466</f>
        <v>0</v>
      </c>
      <c r="B3466" s="156">
        <f>'Reported burning'!B3466</f>
        <v>0</v>
      </c>
      <c r="C3466" s="156">
        <f>'Reported burning'!C3466</f>
        <v>0</v>
      </c>
      <c r="D3466" s="156">
        <f>'Reported burning'!D3466</f>
        <v>0</v>
      </c>
      <c r="E3466" s="156">
        <f>'Reported burning'!E3466</f>
        <v>0</v>
      </c>
      <c r="F3466" s="156">
        <f>'Reported burning'!F3466</f>
        <v>0</v>
      </c>
      <c r="G3466" s="156">
        <f>'Reported burning'!G3466</f>
        <v>0</v>
      </c>
      <c r="H3466" s="156">
        <f>'Reported burning'!H3466</f>
        <v>0</v>
      </c>
      <c r="I3466" s="5"/>
    </row>
    <row r="3467" spans="1:9">
      <c r="A3467" s="156">
        <f>'Reported burning'!A3467</f>
        <v>0</v>
      </c>
      <c r="B3467" s="156">
        <f>'Reported burning'!B3467</f>
        <v>0</v>
      </c>
      <c r="C3467" s="156">
        <f>'Reported burning'!C3467</f>
        <v>0</v>
      </c>
      <c r="D3467" s="156">
        <f>'Reported burning'!D3467</f>
        <v>0</v>
      </c>
      <c r="E3467" s="156">
        <f>'Reported burning'!E3467</f>
        <v>0</v>
      </c>
      <c r="F3467" s="156">
        <f>'Reported burning'!F3467</f>
        <v>0</v>
      </c>
      <c r="G3467" s="156">
        <f>'Reported burning'!G3467</f>
        <v>0</v>
      </c>
      <c r="H3467" s="156">
        <f>'Reported burning'!H3467</f>
        <v>0</v>
      </c>
      <c r="I3467" s="5"/>
    </row>
    <row r="3468" spans="1:9">
      <c r="A3468" s="156">
        <f>'Reported burning'!A3468</f>
        <v>0</v>
      </c>
      <c r="B3468" s="156">
        <f>'Reported burning'!B3468</f>
        <v>0</v>
      </c>
      <c r="C3468" s="156">
        <f>'Reported burning'!C3468</f>
        <v>0</v>
      </c>
      <c r="D3468" s="156">
        <f>'Reported burning'!D3468</f>
        <v>0</v>
      </c>
      <c r="E3468" s="156">
        <f>'Reported burning'!E3468</f>
        <v>0</v>
      </c>
      <c r="F3468" s="156">
        <f>'Reported burning'!F3468</f>
        <v>0</v>
      </c>
      <c r="G3468" s="156">
        <f>'Reported burning'!G3468</f>
        <v>0</v>
      </c>
      <c r="H3468" s="156">
        <f>'Reported burning'!H3468</f>
        <v>0</v>
      </c>
      <c r="I3468" s="5"/>
    </row>
    <row r="3469" spans="1:9">
      <c r="A3469" s="156">
        <f>'Reported burning'!A3469</f>
        <v>0</v>
      </c>
      <c r="B3469" s="156">
        <f>'Reported burning'!B3469</f>
        <v>0</v>
      </c>
      <c r="C3469" s="156">
        <f>'Reported burning'!C3469</f>
        <v>0</v>
      </c>
      <c r="D3469" s="156">
        <f>'Reported burning'!D3469</f>
        <v>0</v>
      </c>
      <c r="E3469" s="156">
        <f>'Reported burning'!E3469</f>
        <v>0</v>
      </c>
      <c r="F3469" s="156">
        <f>'Reported burning'!F3469</f>
        <v>0</v>
      </c>
      <c r="G3469" s="156">
        <f>'Reported burning'!G3469</f>
        <v>0</v>
      </c>
      <c r="H3469" s="156">
        <f>'Reported burning'!H3469</f>
        <v>0</v>
      </c>
      <c r="I3469" s="5"/>
    </row>
    <row r="3470" spans="1:9">
      <c r="A3470" s="156">
        <f>'Reported burning'!A3470</f>
        <v>0</v>
      </c>
      <c r="B3470" s="156">
        <f>'Reported burning'!B3470</f>
        <v>0</v>
      </c>
      <c r="C3470" s="156">
        <f>'Reported burning'!C3470</f>
        <v>0</v>
      </c>
      <c r="D3470" s="156">
        <f>'Reported burning'!D3470</f>
        <v>0</v>
      </c>
      <c r="E3470" s="156">
        <f>'Reported burning'!E3470</f>
        <v>0</v>
      </c>
      <c r="F3470" s="156">
        <f>'Reported burning'!F3470</f>
        <v>0</v>
      </c>
      <c r="G3470" s="156">
        <f>'Reported burning'!G3470</f>
        <v>0</v>
      </c>
      <c r="H3470" s="156">
        <f>'Reported burning'!H3470</f>
        <v>0</v>
      </c>
      <c r="I3470" s="5"/>
    </row>
    <row r="3471" spans="1:9">
      <c r="A3471" s="156">
        <f>'Reported burning'!A3471</f>
        <v>0</v>
      </c>
      <c r="B3471" s="156">
        <f>'Reported burning'!B3471</f>
        <v>0</v>
      </c>
      <c r="C3471" s="156">
        <f>'Reported burning'!C3471</f>
        <v>0</v>
      </c>
      <c r="D3471" s="156">
        <f>'Reported burning'!D3471</f>
        <v>0</v>
      </c>
      <c r="E3471" s="156">
        <f>'Reported burning'!E3471</f>
        <v>0</v>
      </c>
      <c r="F3471" s="156">
        <f>'Reported burning'!F3471</f>
        <v>0</v>
      </c>
      <c r="G3471" s="156">
        <f>'Reported burning'!G3471</f>
        <v>0</v>
      </c>
      <c r="H3471" s="156">
        <f>'Reported burning'!H3471</f>
        <v>0</v>
      </c>
      <c r="I3471" s="5"/>
    </row>
    <row r="3472" spans="1:9">
      <c r="A3472" s="156">
        <f>'Reported burning'!A3472</f>
        <v>0</v>
      </c>
      <c r="B3472" s="156">
        <f>'Reported burning'!B3472</f>
        <v>0</v>
      </c>
      <c r="C3472" s="156">
        <f>'Reported burning'!C3472</f>
        <v>0</v>
      </c>
      <c r="D3472" s="156">
        <f>'Reported burning'!D3472</f>
        <v>0</v>
      </c>
      <c r="E3472" s="156">
        <f>'Reported burning'!E3472</f>
        <v>0</v>
      </c>
      <c r="F3472" s="156">
        <f>'Reported burning'!F3472</f>
        <v>0</v>
      </c>
      <c r="G3472" s="156">
        <f>'Reported burning'!G3472</f>
        <v>0</v>
      </c>
      <c r="H3472" s="156">
        <f>'Reported burning'!H3472</f>
        <v>0</v>
      </c>
      <c r="I3472" s="5"/>
    </row>
    <row r="3473" spans="1:9">
      <c r="A3473" s="156">
        <f>'Reported burning'!A3473</f>
        <v>0</v>
      </c>
      <c r="B3473" s="156">
        <f>'Reported burning'!B3473</f>
        <v>0</v>
      </c>
      <c r="C3473" s="156">
        <f>'Reported burning'!C3473</f>
        <v>0</v>
      </c>
      <c r="D3473" s="156">
        <f>'Reported burning'!D3473</f>
        <v>0</v>
      </c>
      <c r="E3473" s="156">
        <f>'Reported burning'!E3473</f>
        <v>0</v>
      </c>
      <c r="F3473" s="156">
        <f>'Reported burning'!F3473</f>
        <v>0</v>
      </c>
      <c r="G3473" s="156">
        <f>'Reported burning'!G3473</f>
        <v>0</v>
      </c>
      <c r="H3473" s="156">
        <f>'Reported burning'!H3473</f>
        <v>0</v>
      </c>
      <c r="I3473" s="5"/>
    </row>
    <row r="3474" spans="1:9">
      <c r="A3474" s="156">
        <f>'Reported burning'!A3474</f>
        <v>0</v>
      </c>
      <c r="B3474" s="156">
        <f>'Reported burning'!B3474</f>
        <v>0</v>
      </c>
      <c r="C3474" s="156">
        <f>'Reported burning'!C3474</f>
        <v>0</v>
      </c>
      <c r="D3474" s="156">
        <f>'Reported burning'!D3474</f>
        <v>0</v>
      </c>
      <c r="E3474" s="156">
        <f>'Reported burning'!E3474</f>
        <v>0</v>
      </c>
      <c r="F3474" s="156">
        <f>'Reported burning'!F3474</f>
        <v>0</v>
      </c>
      <c r="G3474" s="156">
        <f>'Reported burning'!G3474</f>
        <v>0</v>
      </c>
      <c r="H3474" s="156">
        <f>'Reported burning'!H3474</f>
        <v>0</v>
      </c>
      <c r="I3474" s="5"/>
    </row>
    <row r="3475" spans="1:9">
      <c r="A3475" s="156">
        <f>'Reported burning'!A3475</f>
        <v>0</v>
      </c>
      <c r="B3475" s="156">
        <f>'Reported burning'!B3475</f>
        <v>0</v>
      </c>
      <c r="C3475" s="156">
        <f>'Reported burning'!C3475</f>
        <v>0</v>
      </c>
      <c r="D3475" s="156">
        <f>'Reported burning'!D3475</f>
        <v>0</v>
      </c>
      <c r="E3475" s="156">
        <f>'Reported burning'!E3475</f>
        <v>0</v>
      </c>
      <c r="F3475" s="156">
        <f>'Reported burning'!F3475</f>
        <v>0</v>
      </c>
      <c r="G3475" s="156">
        <f>'Reported burning'!G3475</f>
        <v>0</v>
      </c>
      <c r="H3475" s="156">
        <f>'Reported burning'!H3475</f>
        <v>0</v>
      </c>
      <c r="I3475" s="5"/>
    </row>
    <row r="3476" spans="1:9">
      <c r="A3476" s="156">
        <f>'Reported burning'!A3476</f>
        <v>0</v>
      </c>
      <c r="B3476" s="156">
        <f>'Reported burning'!B3476</f>
        <v>0</v>
      </c>
      <c r="C3476" s="156">
        <f>'Reported burning'!C3476</f>
        <v>0</v>
      </c>
      <c r="D3476" s="156">
        <f>'Reported burning'!D3476</f>
        <v>0</v>
      </c>
      <c r="E3476" s="156">
        <f>'Reported burning'!E3476</f>
        <v>0</v>
      </c>
      <c r="F3476" s="156">
        <f>'Reported burning'!F3476</f>
        <v>0</v>
      </c>
      <c r="G3476" s="156">
        <f>'Reported burning'!G3476</f>
        <v>0</v>
      </c>
      <c r="H3476" s="156">
        <f>'Reported burning'!H3476</f>
        <v>0</v>
      </c>
      <c r="I3476" s="5"/>
    </row>
    <row r="3477" spans="1:9">
      <c r="A3477" s="156">
        <f>'Reported burning'!A3477</f>
        <v>0</v>
      </c>
      <c r="B3477" s="156">
        <f>'Reported burning'!B3477</f>
        <v>0</v>
      </c>
      <c r="C3477" s="156">
        <f>'Reported burning'!C3477</f>
        <v>0</v>
      </c>
      <c r="D3477" s="156">
        <f>'Reported burning'!D3477</f>
        <v>0</v>
      </c>
      <c r="E3477" s="156">
        <f>'Reported burning'!E3477</f>
        <v>0</v>
      </c>
      <c r="F3477" s="156">
        <f>'Reported burning'!F3477</f>
        <v>0</v>
      </c>
      <c r="G3477" s="156">
        <f>'Reported burning'!G3477</f>
        <v>0</v>
      </c>
      <c r="H3477" s="156">
        <f>'Reported burning'!H3477</f>
        <v>0</v>
      </c>
      <c r="I3477" s="5"/>
    </row>
    <row r="3478" spans="1:9">
      <c r="A3478" s="156">
        <f>'Reported burning'!A3478</f>
        <v>0</v>
      </c>
      <c r="B3478" s="156">
        <f>'Reported burning'!B3478</f>
        <v>0</v>
      </c>
      <c r="C3478" s="156">
        <f>'Reported burning'!C3478</f>
        <v>0</v>
      </c>
      <c r="D3478" s="156">
        <f>'Reported burning'!D3478</f>
        <v>0</v>
      </c>
      <c r="E3478" s="156">
        <f>'Reported burning'!E3478</f>
        <v>0</v>
      </c>
      <c r="F3478" s="156">
        <f>'Reported burning'!F3478</f>
        <v>0</v>
      </c>
      <c r="G3478" s="156">
        <f>'Reported burning'!G3478</f>
        <v>0</v>
      </c>
      <c r="H3478" s="156">
        <f>'Reported burning'!H3478</f>
        <v>0</v>
      </c>
      <c r="I3478" s="5"/>
    </row>
    <row r="3479" spans="1:9">
      <c r="A3479" s="156">
        <f>'Reported burning'!A3479</f>
        <v>0</v>
      </c>
      <c r="B3479" s="156">
        <f>'Reported burning'!B3479</f>
        <v>0</v>
      </c>
      <c r="C3479" s="156">
        <f>'Reported burning'!C3479</f>
        <v>0</v>
      </c>
      <c r="D3479" s="156">
        <f>'Reported burning'!D3479</f>
        <v>0</v>
      </c>
      <c r="E3479" s="156">
        <f>'Reported burning'!E3479</f>
        <v>0</v>
      </c>
      <c r="F3479" s="156">
        <f>'Reported burning'!F3479</f>
        <v>0</v>
      </c>
      <c r="G3479" s="156">
        <f>'Reported burning'!G3479</f>
        <v>0</v>
      </c>
      <c r="H3479" s="156">
        <f>'Reported burning'!H3479</f>
        <v>0</v>
      </c>
      <c r="I3479" s="5"/>
    </row>
    <row r="3480" spans="1:9">
      <c r="A3480" s="156">
        <f>'Reported burning'!A3480</f>
        <v>0</v>
      </c>
      <c r="B3480" s="156">
        <f>'Reported burning'!B3480</f>
        <v>0</v>
      </c>
      <c r="C3480" s="156">
        <f>'Reported burning'!C3480</f>
        <v>0</v>
      </c>
      <c r="D3480" s="156">
        <f>'Reported burning'!D3480</f>
        <v>0</v>
      </c>
      <c r="E3480" s="156">
        <f>'Reported burning'!E3480</f>
        <v>0</v>
      </c>
      <c r="F3480" s="156">
        <f>'Reported burning'!F3480</f>
        <v>0</v>
      </c>
      <c r="G3480" s="156">
        <f>'Reported burning'!G3480</f>
        <v>0</v>
      </c>
      <c r="H3480" s="156">
        <f>'Reported burning'!H3480</f>
        <v>0</v>
      </c>
      <c r="I3480" s="5"/>
    </row>
    <row r="3481" spans="1:9">
      <c r="A3481" s="156">
        <f>'Reported burning'!A3481</f>
        <v>0</v>
      </c>
      <c r="B3481" s="156">
        <f>'Reported burning'!B3481</f>
        <v>0</v>
      </c>
      <c r="C3481" s="156">
        <f>'Reported burning'!C3481</f>
        <v>0</v>
      </c>
      <c r="D3481" s="156">
        <f>'Reported burning'!D3481</f>
        <v>0</v>
      </c>
      <c r="E3481" s="156">
        <f>'Reported burning'!E3481</f>
        <v>0</v>
      </c>
      <c r="F3481" s="156">
        <f>'Reported burning'!F3481</f>
        <v>0</v>
      </c>
      <c r="G3481" s="156">
        <f>'Reported burning'!G3481</f>
        <v>0</v>
      </c>
      <c r="H3481" s="156">
        <f>'Reported burning'!H3481</f>
        <v>0</v>
      </c>
      <c r="I3481" s="5"/>
    </row>
    <row r="3482" spans="1:9">
      <c r="A3482" s="156">
        <f>'Reported burning'!A3482</f>
        <v>0</v>
      </c>
      <c r="B3482" s="156">
        <f>'Reported burning'!B3482</f>
        <v>0</v>
      </c>
      <c r="C3482" s="156">
        <f>'Reported burning'!C3482</f>
        <v>0</v>
      </c>
      <c r="D3482" s="156">
        <f>'Reported burning'!D3482</f>
        <v>0</v>
      </c>
      <c r="E3482" s="156">
        <f>'Reported burning'!E3482</f>
        <v>0</v>
      </c>
      <c r="F3482" s="156">
        <f>'Reported burning'!F3482</f>
        <v>0</v>
      </c>
      <c r="G3482" s="156">
        <f>'Reported burning'!G3482</f>
        <v>0</v>
      </c>
      <c r="H3482" s="156">
        <f>'Reported burning'!H3482</f>
        <v>0</v>
      </c>
      <c r="I3482" s="5"/>
    </row>
    <row r="3483" spans="1:9">
      <c r="A3483" s="156">
        <f>'Reported burning'!A3483</f>
        <v>0</v>
      </c>
      <c r="B3483" s="156">
        <f>'Reported burning'!B3483</f>
        <v>0</v>
      </c>
      <c r="C3483" s="156">
        <f>'Reported burning'!C3483</f>
        <v>0</v>
      </c>
      <c r="D3483" s="156">
        <f>'Reported burning'!D3483</f>
        <v>0</v>
      </c>
      <c r="E3483" s="156">
        <f>'Reported burning'!E3483</f>
        <v>0</v>
      </c>
      <c r="F3483" s="156">
        <f>'Reported burning'!F3483</f>
        <v>0</v>
      </c>
      <c r="G3483" s="156">
        <f>'Reported burning'!G3483</f>
        <v>0</v>
      </c>
      <c r="H3483" s="156">
        <f>'Reported burning'!H3483</f>
        <v>0</v>
      </c>
      <c r="I3483" s="5"/>
    </row>
    <row r="3484" spans="1:9">
      <c r="A3484" s="156">
        <f>'Reported burning'!A3484</f>
        <v>0</v>
      </c>
      <c r="B3484" s="156">
        <f>'Reported burning'!B3484</f>
        <v>0</v>
      </c>
      <c r="C3484" s="156">
        <f>'Reported burning'!C3484</f>
        <v>0</v>
      </c>
      <c r="D3484" s="156">
        <f>'Reported burning'!D3484</f>
        <v>0</v>
      </c>
      <c r="E3484" s="156">
        <f>'Reported burning'!E3484</f>
        <v>0</v>
      </c>
      <c r="F3484" s="156">
        <f>'Reported burning'!F3484</f>
        <v>0</v>
      </c>
      <c r="G3484" s="156">
        <f>'Reported burning'!G3484</f>
        <v>0</v>
      </c>
      <c r="H3484" s="156">
        <f>'Reported burning'!H3484</f>
        <v>0</v>
      </c>
      <c r="I3484" s="5"/>
    </row>
    <row r="3485" spans="1:9">
      <c r="A3485" s="156">
        <f>'Reported burning'!A3485</f>
        <v>0</v>
      </c>
      <c r="B3485" s="156">
        <f>'Reported burning'!B3485</f>
        <v>0</v>
      </c>
      <c r="C3485" s="156">
        <f>'Reported burning'!C3485</f>
        <v>0</v>
      </c>
      <c r="D3485" s="156">
        <f>'Reported burning'!D3485</f>
        <v>0</v>
      </c>
      <c r="E3485" s="156">
        <f>'Reported burning'!E3485</f>
        <v>0</v>
      </c>
      <c r="F3485" s="156">
        <f>'Reported burning'!F3485</f>
        <v>0</v>
      </c>
      <c r="G3485" s="156">
        <f>'Reported burning'!G3485</f>
        <v>0</v>
      </c>
      <c r="H3485" s="156">
        <f>'Reported burning'!H3485</f>
        <v>0</v>
      </c>
      <c r="I3485" s="5"/>
    </row>
    <row r="3486" spans="1:9">
      <c r="A3486" s="156">
        <f>'Reported burning'!A3486</f>
        <v>0</v>
      </c>
      <c r="B3486" s="156">
        <f>'Reported burning'!B3486</f>
        <v>0</v>
      </c>
      <c r="C3486" s="156">
        <f>'Reported burning'!C3486</f>
        <v>0</v>
      </c>
      <c r="D3486" s="156">
        <f>'Reported burning'!D3486</f>
        <v>0</v>
      </c>
      <c r="E3486" s="156">
        <f>'Reported burning'!E3486</f>
        <v>0</v>
      </c>
      <c r="F3486" s="156">
        <f>'Reported burning'!F3486</f>
        <v>0</v>
      </c>
      <c r="G3486" s="156">
        <f>'Reported burning'!G3486</f>
        <v>0</v>
      </c>
      <c r="H3486" s="156">
        <f>'Reported burning'!H3486</f>
        <v>0</v>
      </c>
      <c r="I3486" s="5"/>
    </row>
    <row r="3487" spans="1:9">
      <c r="A3487" s="156">
        <f>'Reported burning'!A3487</f>
        <v>0</v>
      </c>
      <c r="B3487" s="156">
        <f>'Reported burning'!B3487</f>
        <v>0</v>
      </c>
      <c r="C3487" s="156">
        <f>'Reported burning'!C3487</f>
        <v>0</v>
      </c>
      <c r="D3487" s="156">
        <f>'Reported burning'!D3487</f>
        <v>0</v>
      </c>
      <c r="E3487" s="156">
        <f>'Reported burning'!E3487</f>
        <v>0</v>
      </c>
      <c r="F3487" s="156">
        <f>'Reported burning'!F3487</f>
        <v>0</v>
      </c>
      <c r="G3487" s="156">
        <f>'Reported burning'!G3487</f>
        <v>0</v>
      </c>
      <c r="H3487" s="156">
        <f>'Reported burning'!H3487</f>
        <v>0</v>
      </c>
      <c r="I3487" s="5"/>
    </row>
    <row r="3488" spans="1:9">
      <c r="A3488" s="156">
        <f>'Reported burning'!A3488</f>
        <v>0</v>
      </c>
      <c r="B3488" s="156">
        <f>'Reported burning'!B3488</f>
        <v>0</v>
      </c>
      <c r="C3488" s="156">
        <f>'Reported burning'!C3488</f>
        <v>0</v>
      </c>
      <c r="D3488" s="156">
        <f>'Reported burning'!D3488</f>
        <v>0</v>
      </c>
      <c r="E3488" s="156">
        <f>'Reported burning'!E3488</f>
        <v>0</v>
      </c>
      <c r="F3488" s="156">
        <f>'Reported burning'!F3488</f>
        <v>0</v>
      </c>
      <c r="G3488" s="156">
        <f>'Reported burning'!G3488</f>
        <v>0</v>
      </c>
      <c r="H3488" s="156">
        <f>'Reported burning'!H3488</f>
        <v>0</v>
      </c>
      <c r="I3488" s="5"/>
    </row>
    <row r="3489" spans="1:9">
      <c r="A3489" s="156">
        <f>'Reported burning'!A3489</f>
        <v>0</v>
      </c>
      <c r="B3489" s="156">
        <f>'Reported burning'!B3489</f>
        <v>0</v>
      </c>
      <c r="C3489" s="156">
        <f>'Reported burning'!C3489</f>
        <v>0</v>
      </c>
      <c r="D3489" s="156">
        <f>'Reported burning'!D3489</f>
        <v>0</v>
      </c>
      <c r="E3489" s="156">
        <f>'Reported burning'!E3489</f>
        <v>0</v>
      </c>
      <c r="F3489" s="156">
        <f>'Reported burning'!F3489</f>
        <v>0</v>
      </c>
      <c r="G3489" s="156">
        <f>'Reported burning'!G3489</f>
        <v>0</v>
      </c>
      <c r="H3489" s="156">
        <f>'Reported burning'!H3489</f>
        <v>0</v>
      </c>
      <c r="I3489" s="5"/>
    </row>
    <row r="3490" spans="1:9">
      <c r="A3490" s="156">
        <f>'Reported burning'!A3490</f>
        <v>0</v>
      </c>
      <c r="B3490" s="156">
        <f>'Reported burning'!B3490</f>
        <v>0</v>
      </c>
      <c r="C3490" s="156">
        <f>'Reported burning'!C3490</f>
        <v>0</v>
      </c>
      <c r="D3490" s="156">
        <f>'Reported burning'!D3490</f>
        <v>0</v>
      </c>
      <c r="E3490" s="156">
        <f>'Reported burning'!E3490</f>
        <v>0</v>
      </c>
      <c r="F3490" s="156">
        <f>'Reported burning'!F3490</f>
        <v>0</v>
      </c>
      <c r="G3490" s="156">
        <f>'Reported burning'!G3490</f>
        <v>0</v>
      </c>
      <c r="H3490" s="156">
        <f>'Reported burning'!H3490</f>
        <v>0</v>
      </c>
      <c r="I3490" s="5"/>
    </row>
    <row r="3491" spans="1:9">
      <c r="A3491" s="156">
        <f>'Reported burning'!A3491</f>
        <v>0</v>
      </c>
      <c r="B3491" s="156">
        <f>'Reported burning'!B3491</f>
        <v>0</v>
      </c>
      <c r="C3491" s="156">
        <f>'Reported burning'!C3491</f>
        <v>0</v>
      </c>
      <c r="D3491" s="156">
        <f>'Reported burning'!D3491</f>
        <v>0</v>
      </c>
      <c r="E3491" s="156">
        <f>'Reported burning'!E3491</f>
        <v>0</v>
      </c>
      <c r="F3491" s="156">
        <f>'Reported burning'!F3491</f>
        <v>0</v>
      </c>
      <c r="G3491" s="156">
        <f>'Reported burning'!G3491</f>
        <v>0</v>
      </c>
      <c r="H3491" s="156">
        <f>'Reported burning'!H3491</f>
        <v>0</v>
      </c>
      <c r="I3491" s="5"/>
    </row>
    <row r="3492" spans="1:9">
      <c r="A3492" s="156">
        <f>'Reported burning'!A3492</f>
        <v>0</v>
      </c>
      <c r="B3492" s="156">
        <f>'Reported burning'!B3492</f>
        <v>0</v>
      </c>
      <c r="C3492" s="156">
        <f>'Reported burning'!C3492</f>
        <v>0</v>
      </c>
      <c r="D3492" s="156">
        <f>'Reported burning'!D3492</f>
        <v>0</v>
      </c>
      <c r="E3492" s="156">
        <f>'Reported burning'!E3492</f>
        <v>0</v>
      </c>
      <c r="F3492" s="156">
        <f>'Reported burning'!F3492</f>
        <v>0</v>
      </c>
      <c r="G3492" s="156">
        <f>'Reported burning'!G3492</f>
        <v>0</v>
      </c>
      <c r="H3492" s="156">
        <f>'Reported burning'!H3492</f>
        <v>0</v>
      </c>
      <c r="I3492" s="5"/>
    </row>
    <row r="3493" spans="1:9">
      <c r="A3493" s="156">
        <f>'Reported burning'!A3493</f>
        <v>0</v>
      </c>
      <c r="B3493" s="156">
        <f>'Reported burning'!B3493</f>
        <v>0</v>
      </c>
      <c r="C3493" s="156">
        <f>'Reported burning'!C3493</f>
        <v>0</v>
      </c>
      <c r="D3493" s="156">
        <f>'Reported burning'!D3493</f>
        <v>0</v>
      </c>
      <c r="E3493" s="156">
        <f>'Reported burning'!E3493</f>
        <v>0</v>
      </c>
      <c r="F3493" s="156">
        <f>'Reported burning'!F3493</f>
        <v>0</v>
      </c>
      <c r="G3493" s="156">
        <f>'Reported burning'!G3493</f>
        <v>0</v>
      </c>
      <c r="H3493" s="156">
        <f>'Reported burning'!H3493</f>
        <v>0</v>
      </c>
      <c r="I3493" s="5"/>
    </row>
    <row r="3494" spans="1:9">
      <c r="A3494" s="156">
        <f>'Reported burning'!A3494</f>
        <v>0</v>
      </c>
      <c r="B3494" s="156">
        <f>'Reported burning'!B3494</f>
        <v>0</v>
      </c>
      <c r="C3494" s="156">
        <f>'Reported burning'!C3494</f>
        <v>0</v>
      </c>
      <c r="D3494" s="156">
        <f>'Reported burning'!D3494</f>
        <v>0</v>
      </c>
      <c r="E3494" s="156">
        <f>'Reported burning'!E3494</f>
        <v>0</v>
      </c>
      <c r="F3494" s="156">
        <f>'Reported burning'!F3494</f>
        <v>0</v>
      </c>
      <c r="G3494" s="156">
        <f>'Reported burning'!G3494</f>
        <v>0</v>
      </c>
      <c r="H3494" s="156">
        <f>'Reported burning'!H3494</f>
        <v>0</v>
      </c>
      <c r="I3494" s="5"/>
    </row>
    <row r="3495" spans="1:9">
      <c r="A3495" s="156">
        <f>'Reported burning'!A3495</f>
        <v>0</v>
      </c>
      <c r="B3495" s="156">
        <f>'Reported burning'!B3495</f>
        <v>0</v>
      </c>
      <c r="C3495" s="156">
        <f>'Reported burning'!C3495</f>
        <v>0</v>
      </c>
      <c r="D3495" s="156">
        <f>'Reported burning'!D3495</f>
        <v>0</v>
      </c>
      <c r="E3495" s="156">
        <f>'Reported burning'!E3495</f>
        <v>0</v>
      </c>
      <c r="F3495" s="156">
        <f>'Reported burning'!F3495</f>
        <v>0</v>
      </c>
      <c r="G3495" s="156">
        <f>'Reported burning'!G3495</f>
        <v>0</v>
      </c>
      <c r="H3495" s="156">
        <f>'Reported burning'!H3495</f>
        <v>0</v>
      </c>
      <c r="I3495" s="5"/>
    </row>
    <row r="3496" spans="1:9">
      <c r="A3496" s="156">
        <f>'Reported burning'!A3496</f>
        <v>0</v>
      </c>
      <c r="B3496" s="156">
        <f>'Reported burning'!B3496</f>
        <v>0</v>
      </c>
      <c r="C3496" s="156">
        <f>'Reported burning'!C3496</f>
        <v>0</v>
      </c>
      <c r="D3496" s="156">
        <f>'Reported burning'!D3496</f>
        <v>0</v>
      </c>
      <c r="E3496" s="156">
        <f>'Reported burning'!E3496</f>
        <v>0</v>
      </c>
      <c r="F3496" s="156">
        <f>'Reported burning'!F3496</f>
        <v>0</v>
      </c>
      <c r="G3496" s="156">
        <f>'Reported burning'!G3496</f>
        <v>0</v>
      </c>
      <c r="H3496" s="156">
        <f>'Reported burning'!H3496</f>
        <v>0</v>
      </c>
      <c r="I3496" s="5"/>
    </row>
    <row r="3497" spans="1:9">
      <c r="A3497" s="156">
        <f>'Reported burning'!A3497</f>
        <v>0</v>
      </c>
      <c r="B3497" s="156">
        <f>'Reported burning'!B3497</f>
        <v>0</v>
      </c>
      <c r="C3497" s="156">
        <f>'Reported burning'!C3497</f>
        <v>0</v>
      </c>
      <c r="D3497" s="156">
        <f>'Reported burning'!D3497</f>
        <v>0</v>
      </c>
      <c r="E3497" s="156">
        <f>'Reported burning'!E3497</f>
        <v>0</v>
      </c>
      <c r="F3497" s="156">
        <f>'Reported burning'!F3497</f>
        <v>0</v>
      </c>
      <c r="G3497" s="156">
        <f>'Reported burning'!G3497</f>
        <v>0</v>
      </c>
      <c r="H3497" s="156">
        <f>'Reported burning'!H3497</f>
        <v>0</v>
      </c>
      <c r="I3497" s="5"/>
    </row>
    <row r="3498" spans="1:9">
      <c r="A3498" s="156">
        <f>'Reported burning'!A3498</f>
        <v>0</v>
      </c>
      <c r="B3498" s="156">
        <f>'Reported burning'!B3498</f>
        <v>0</v>
      </c>
      <c r="C3498" s="156">
        <f>'Reported burning'!C3498</f>
        <v>0</v>
      </c>
      <c r="D3498" s="156">
        <f>'Reported burning'!D3498</f>
        <v>0</v>
      </c>
      <c r="E3498" s="156">
        <f>'Reported burning'!E3498</f>
        <v>0</v>
      </c>
      <c r="F3498" s="156">
        <f>'Reported burning'!F3498</f>
        <v>0</v>
      </c>
      <c r="G3498" s="156">
        <f>'Reported burning'!G3498</f>
        <v>0</v>
      </c>
      <c r="H3498" s="156">
        <f>'Reported burning'!H3498</f>
        <v>0</v>
      </c>
      <c r="I3498" s="5"/>
    </row>
    <row r="3499" spans="1:9">
      <c r="A3499" s="156">
        <f>'Reported burning'!A3499</f>
        <v>0</v>
      </c>
      <c r="B3499" s="156">
        <f>'Reported burning'!B3499</f>
        <v>0</v>
      </c>
      <c r="C3499" s="156">
        <f>'Reported burning'!C3499</f>
        <v>0</v>
      </c>
      <c r="D3499" s="156">
        <f>'Reported burning'!D3499</f>
        <v>0</v>
      </c>
      <c r="E3499" s="156">
        <f>'Reported burning'!E3499</f>
        <v>0</v>
      </c>
      <c r="F3499" s="156">
        <f>'Reported burning'!F3499</f>
        <v>0</v>
      </c>
      <c r="G3499" s="156">
        <f>'Reported burning'!G3499</f>
        <v>0</v>
      </c>
      <c r="H3499" s="156">
        <f>'Reported burning'!H3499</f>
        <v>0</v>
      </c>
      <c r="I3499" s="5"/>
    </row>
    <row r="3500" spans="1:9">
      <c r="A3500" s="156">
        <f>'Reported burning'!A3500</f>
        <v>0</v>
      </c>
      <c r="B3500" s="156">
        <f>'Reported burning'!B3500</f>
        <v>0</v>
      </c>
      <c r="C3500" s="156">
        <f>'Reported burning'!C3500</f>
        <v>0</v>
      </c>
      <c r="D3500" s="156">
        <f>'Reported burning'!D3500</f>
        <v>0</v>
      </c>
      <c r="E3500" s="156">
        <f>'Reported burning'!E3500</f>
        <v>0</v>
      </c>
      <c r="F3500" s="156">
        <f>'Reported burning'!F3500</f>
        <v>0</v>
      </c>
      <c r="G3500" s="156">
        <f>'Reported burning'!G3500</f>
        <v>0</v>
      </c>
      <c r="H3500" s="156">
        <f>'Reported burning'!H3500</f>
        <v>0</v>
      </c>
      <c r="I3500" s="5"/>
    </row>
    <row r="3501" spans="1:9">
      <c r="A3501" s="156">
        <f>'Reported burning'!A3501</f>
        <v>0</v>
      </c>
      <c r="B3501" s="156">
        <f>'Reported burning'!B3501</f>
        <v>0</v>
      </c>
      <c r="C3501" s="156">
        <f>'Reported burning'!C3501</f>
        <v>0</v>
      </c>
      <c r="D3501" s="156">
        <f>'Reported burning'!D3501</f>
        <v>0</v>
      </c>
      <c r="E3501" s="156">
        <f>'Reported burning'!E3501</f>
        <v>0</v>
      </c>
      <c r="F3501" s="156">
        <f>'Reported burning'!F3501</f>
        <v>0</v>
      </c>
      <c r="G3501" s="156">
        <f>'Reported burning'!G3501</f>
        <v>0</v>
      </c>
      <c r="H3501" s="156">
        <f>'Reported burning'!H3501</f>
        <v>0</v>
      </c>
      <c r="I3501" s="5"/>
    </row>
    <row r="3502" spans="1:9">
      <c r="A3502" s="156">
        <f>'Reported burning'!A3502</f>
        <v>0</v>
      </c>
      <c r="B3502" s="156">
        <f>'Reported burning'!B3502</f>
        <v>0</v>
      </c>
      <c r="C3502" s="156">
        <f>'Reported burning'!C3502</f>
        <v>0</v>
      </c>
      <c r="D3502" s="156">
        <f>'Reported burning'!D3502</f>
        <v>0</v>
      </c>
      <c r="E3502" s="156">
        <f>'Reported burning'!E3502</f>
        <v>0</v>
      </c>
      <c r="F3502" s="156">
        <f>'Reported burning'!F3502</f>
        <v>0</v>
      </c>
      <c r="G3502" s="156">
        <f>'Reported burning'!G3502</f>
        <v>0</v>
      </c>
      <c r="H3502" s="156">
        <f>'Reported burning'!H3502</f>
        <v>0</v>
      </c>
      <c r="I3502" s="5"/>
    </row>
    <row r="3503" spans="1:9">
      <c r="A3503" s="156">
        <f>'Reported burning'!A3503</f>
        <v>0</v>
      </c>
      <c r="B3503" s="156">
        <f>'Reported burning'!B3503</f>
        <v>0</v>
      </c>
      <c r="C3503" s="156">
        <f>'Reported burning'!C3503</f>
        <v>0</v>
      </c>
      <c r="D3503" s="156">
        <f>'Reported burning'!D3503</f>
        <v>0</v>
      </c>
      <c r="E3503" s="156">
        <f>'Reported burning'!E3503</f>
        <v>0</v>
      </c>
      <c r="F3503" s="156">
        <f>'Reported burning'!F3503</f>
        <v>0</v>
      </c>
      <c r="G3503" s="156">
        <f>'Reported burning'!G3503</f>
        <v>0</v>
      </c>
      <c r="H3503" s="156">
        <f>'Reported burning'!H3503</f>
        <v>0</v>
      </c>
      <c r="I3503" s="5"/>
    </row>
    <row r="3504" spans="1:9">
      <c r="A3504" s="156">
        <f>'Reported burning'!A3504</f>
        <v>0</v>
      </c>
      <c r="B3504" s="156">
        <f>'Reported burning'!B3504</f>
        <v>0</v>
      </c>
      <c r="C3504" s="156">
        <f>'Reported burning'!C3504</f>
        <v>0</v>
      </c>
      <c r="D3504" s="156">
        <f>'Reported burning'!D3504</f>
        <v>0</v>
      </c>
      <c r="E3504" s="156">
        <f>'Reported burning'!E3504</f>
        <v>0</v>
      </c>
      <c r="F3504" s="156">
        <f>'Reported burning'!F3504</f>
        <v>0</v>
      </c>
      <c r="G3504" s="156">
        <f>'Reported burning'!G3504</f>
        <v>0</v>
      </c>
      <c r="H3504" s="156">
        <f>'Reported burning'!H3504</f>
        <v>0</v>
      </c>
      <c r="I3504" s="5"/>
    </row>
    <row r="3505" spans="1:9">
      <c r="A3505" s="156">
        <f>'Reported burning'!A3505</f>
        <v>0</v>
      </c>
      <c r="B3505" s="156">
        <f>'Reported burning'!B3505</f>
        <v>0</v>
      </c>
      <c r="C3505" s="156">
        <f>'Reported burning'!C3505</f>
        <v>0</v>
      </c>
      <c r="D3505" s="156">
        <f>'Reported burning'!D3505</f>
        <v>0</v>
      </c>
      <c r="E3505" s="156">
        <f>'Reported burning'!E3505</f>
        <v>0</v>
      </c>
      <c r="F3505" s="156">
        <f>'Reported burning'!F3505</f>
        <v>0</v>
      </c>
      <c r="G3505" s="156">
        <f>'Reported burning'!G3505</f>
        <v>0</v>
      </c>
      <c r="H3505" s="156">
        <f>'Reported burning'!H3505</f>
        <v>0</v>
      </c>
      <c r="I3505" s="5"/>
    </row>
    <row r="3506" spans="1:9">
      <c r="A3506" s="156">
        <f>'Reported burning'!A3506</f>
        <v>0</v>
      </c>
      <c r="B3506" s="156">
        <f>'Reported burning'!B3506</f>
        <v>0</v>
      </c>
      <c r="C3506" s="156">
        <f>'Reported burning'!C3506</f>
        <v>0</v>
      </c>
      <c r="D3506" s="156">
        <f>'Reported burning'!D3506</f>
        <v>0</v>
      </c>
      <c r="E3506" s="156">
        <f>'Reported burning'!E3506</f>
        <v>0</v>
      </c>
      <c r="F3506" s="156">
        <f>'Reported burning'!F3506</f>
        <v>0</v>
      </c>
      <c r="G3506" s="156">
        <f>'Reported burning'!G3506</f>
        <v>0</v>
      </c>
      <c r="H3506" s="156">
        <f>'Reported burning'!H3506</f>
        <v>0</v>
      </c>
      <c r="I3506" s="5"/>
    </row>
    <row r="3507" spans="1:9">
      <c r="A3507" s="156">
        <f>'Reported burning'!A3507</f>
        <v>0</v>
      </c>
      <c r="B3507" s="156">
        <f>'Reported burning'!B3507</f>
        <v>0</v>
      </c>
      <c r="C3507" s="156">
        <f>'Reported burning'!C3507</f>
        <v>0</v>
      </c>
      <c r="D3507" s="156">
        <f>'Reported burning'!D3507</f>
        <v>0</v>
      </c>
      <c r="E3507" s="156">
        <f>'Reported burning'!E3507</f>
        <v>0</v>
      </c>
      <c r="F3507" s="156">
        <f>'Reported burning'!F3507</f>
        <v>0</v>
      </c>
      <c r="G3507" s="156">
        <f>'Reported burning'!G3507</f>
        <v>0</v>
      </c>
      <c r="H3507" s="156">
        <f>'Reported burning'!H3507</f>
        <v>0</v>
      </c>
      <c r="I3507" s="5"/>
    </row>
    <row r="3508" spans="1:9">
      <c r="A3508" s="156">
        <f>'Reported burning'!A3508</f>
        <v>0</v>
      </c>
      <c r="B3508" s="156">
        <f>'Reported burning'!B3508</f>
        <v>0</v>
      </c>
      <c r="C3508" s="156">
        <f>'Reported burning'!C3508</f>
        <v>0</v>
      </c>
      <c r="D3508" s="156">
        <f>'Reported burning'!D3508</f>
        <v>0</v>
      </c>
      <c r="E3508" s="156">
        <f>'Reported burning'!E3508</f>
        <v>0</v>
      </c>
      <c r="F3508" s="156">
        <f>'Reported burning'!F3508</f>
        <v>0</v>
      </c>
      <c r="G3508" s="156">
        <f>'Reported burning'!G3508</f>
        <v>0</v>
      </c>
      <c r="H3508" s="156">
        <f>'Reported burning'!H3508</f>
        <v>0</v>
      </c>
      <c r="I3508" s="5"/>
    </row>
    <row r="3509" spans="1:9">
      <c r="A3509" s="156">
        <f>'Reported burning'!A3509</f>
        <v>0</v>
      </c>
      <c r="B3509" s="156">
        <f>'Reported burning'!B3509</f>
        <v>0</v>
      </c>
      <c r="C3509" s="156">
        <f>'Reported burning'!C3509</f>
        <v>0</v>
      </c>
      <c r="D3509" s="156">
        <f>'Reported burning'!D3509</f>
        <v>0</v>
      </c>
      <c r="E3509" s="156">
        <f>'Reported burning'!E3509</f>
        <v>0</v>
      </c>
      <c r="F3509" s="156">
        <f>'Reported burning'!F3509</f>
        <v>0</v>
      </c>
      <c r="G3509" s="156">
        <f>'Reported burning'!G3509</f>
        <v>0</v>
      </c>
      <c r="H3509" s="156">
        <f>'Reported burning'!H3509</f>
        <v>0</v>
      </c>
      <c r="I3509" s="5"/>
    </row>
    <row r="3510" spans="1:9">
      <c r="A3510" s="156">
        <f>'Reported burning'!A3510</f>
        <v>0</v>
      </c>
      <c r="B3510" s="156">
        <f>'Reported burning'!B3510</f>
        <v>0</v>
      </c>
      <c r="C3510" s="156">
        <f>'Reported burning'!C3510</f>
        <v>0</v>
      </c>
      <c r="D3510" s="156">
        <f>'Reported burning'!D3510</f>
        <v>0</v>
      </c>
      <c r="E3510" s="156">
        <f>'Reported burning'!E3510</f>
        <v>0</v>
      </c>
      <c r="F3510" s="156">
        <f>'Reported burning'!F3510</f>
        <v>0</v>
      </c>
      <c r="G3510" s="156">
        <f>'Reported burning'!G3510</f>
        <v>0</v>
      </c>
      <c r="H3510" s="156">
        <f>'Reported burning'!H3510</f>
        <v>0</v>
      </c>
      <c r="I3510" s="5"/>
    </row>
    <row r="3511" spans="1:9">
      <c r="A3511" s="156">
        <f>'Reported burning'!A3511</f>
        <v>0</v>
      </c>
      <c r="B3511" s="156">
        <f>'Reported burning'!B3511</f>
        <v>0</v>
      </c>
      <c r="C3511" s="156">
        <f>'Reported burning'!C3511</f>
        <v>0</v>
      </c>
      <c r="D3511" s="156">
        <f>'Reported burning'!D3511</f>
        <v>0</v>
      </c>
      <c r="E3511" s="156">
        <f>'Reported burning'!E3511</f>
        <v>0</v>
      </c>
      <c r="F3511" s="156">
        <f>'Reported burning'!F3511</f>
        <v>0</v>
      </c>
      <c r="G3511" s="156">
        <f>'Reported burning'!G3511</f>
        <v>0</v>
      </c>
      <c r="H3511" s="156">
        <f>'Reported burning'!H3511</f>
        <v>0</v>
      </c>
      <c r="I3511" s="5"/>
    </row>
    <row r="3512" spans="1:9">
      <c r="A3512" s="156">
        <f>'Reported burning'!A3512</f>
        <v>0</v>
      </c>
      <c r="B3512" s="156">
        <f>'Reported burning'!B3512</f>
        <v>0</v>
      </c>
      <c r="C3512" s="156">
        <f>'Reported burning'!C3512</f>
        <v>0</v>
      </c>
      <c r="D3512" s="156">
        <f>'Reported burning'!D3512</f>
        <v>0</v>
      </c>
      <c r="E3512" s="156">
        <f>'Reported burning'!E3512</f>
        <v>0</v>
      </c>
      <c r="F3512" s="156">
        <f>'Reported burning'!F3512</f>
        <v>0</v>
      </c>
      <c r="G3512" s="156">
        <f>'Reported burning'!G3512</f>
        <v>0</v>
      </c>
      <c r="H3512" s="156">
        <f>'Reported burning'!H3512</f>
        <v>0</v>
      </c>
      <c r="I3512" s="5"/>
    </row>
    <row r="3513" spans="1:9">
      <c r="A3513" s="156">
        <f>'Reported burning'!A3513</f>
        <v>0</v>
      </c>
      <c r="B3513" s="156">
        <f>'Reported burning'!B3513</f>
        <v>0</v>
      </c>
      <c r="C3513" s="156">
        <f>'Reported burning'!C3513</f>
        <v>0</v>
      </c>
      <c r="D3513" s="156">
        <f>'Reported burning'!D3513</f>
        <v>0</v>
      </c>
      <c r="E3513" s="156">
        <f>'Reported burning'!E3513</f>
        <v>0</v>
      </c>
      <c r="F3513" s="156">
        <f>'Reported burning'!F3513</f>
        <v>0</v>
      </c>
      <c r="G3513" s="156">
        <f>'Reported burning'!G3513</f>
        <v>0</v>
      </c>
      <c r="H3513" s="156">
        <f>'Reported burning'!H3513</f>
        <v>0</v>
      </c>
      <c r="I3513" s="5"/>
    </row>
    <row r="3514" spans="1:9">
      <c r="A3514" s="156">
        <f>'Reported burning'!A3514</f>
        <v>0</v>
      </c>
      <c r="B3514" s="156">
        <f>'Reported burning'!B3514</f>
        <v>0</v>
      </c>
      <c r="C3514" s="156">
        <f>'Reported burning'!C3514</f>
        <v>0</v>
      </c>
      <c r="D3514" s="156">
        <f>'Reported burning'!D3514</f>
        <v>0</v>
      </c>
      <c r="E3514" s="156">
        <f>'Reported burning'!E3514</f>
        <v>0</v>
      </c>
      <c r="F3514" s="156">
        <f>'Reported burning'!F3514</f>
        <v>0</v>
      </c>
      <c r="G3514" s="156">
        <f>'Reported burning'!G3514</f>
        <v>0</v>
      </c>
      <c r="H3514" s="156">
        <f>'Reported burning'!H3514</f>
        <v>0</v>
      </c>
      <c r="I3514" s="5"/>
    </row>
    <row r="3515" spans="1:9">
      <c r="A3515" s="156">
        <f>'Reported burning'!A3515</f>
        <v>0</v>
      </c>
      <c r="B3515" s="156">
        <f>'Reported burning'!B3515</f>
        <v>0</v>
      </c>
      <c r="C3515" s="156">
        <f>'Reported burning'!C3515</f>
        <v>0</v>
      </c>
      <c r="D3515" s="156">
        <f>'Reported burning'!D3515</f>
        <v>0</v>
      </c>
      <c r="E3515" s="156">
        <f>'Reported burning'!E3515</f>
        <v>0</v>
      </c>
      <c r="F3515" s="156">
        <f>'Reported burning'!F3515</f>
        <v>0</v>
      </c>
      <c r="G3515" s="156">
        <f>'Reported burning'!G3515</f>
        <v>0</v>
      </c>
      <c r="H3515" s="156">
        <f>'Reported burning'!H3515</f>
        <v>0</v>
      </c>
      <c r="I3515" s="5"/>
    </row>
    <row r="3516" spans="1:9">
      <c r="A3516" s="156">
        <f>'Reported burning'!A3516</f>
        <v>0</v>
      </c>
      <c r="B3516" s="156">
        <f>'Reported burning'!B3516</f>
        <v>0</v>
      </c>
      <c r="C3516" s="156">
        <f>'Reported burning'!C3516</f>
        <v>0</v>
      </c>
      <c r="D3516" s="156">
        <f>'Reported burning'!D3516</f>
        <v>0</v>
      </c>
      <c r="E3516" s="156">
        <f>'Reported burning'!E3516</f>
        <v>0</v>
      </c>
      <c r="F3516" s="156">
        <f>'Reported burning'!F3516</f>
        <v>0</v>
      </c>
      <c r="G3516" s="156">
        <f>'Reported burning'!G3516</f>
        <v>0</v>
      </c>
      <c r="H3516" s="156">
        <f>'Reported burning'!H3516</f>
        <v>0</v>
      </c>
      <c r="I3516" s="5"/>
    </row>
    <row r="3517" spans="1:9">
      <c r="A3517" s="156">
        <f>'Reported burning'!A3517</f>
        <v>0</v>
      </c>
      <c r="B3517" s="156">
        <f>'Reported burning'!B3517</f>
        <v>0</v>
      </c>
      <c r="C3517" s="156">
        <f>'Reported burning'!C3517</f>
        <v>0</v>
      </c>
      <c r="D3517" s="156">
        <f>'Reported burning'!D3517</f>
        <v>0</v>
      </c>
      <c r="E3517" s="156">
        <f>'Reported burning'!E3517</f>
        <v>0</v>
      </c>
      <c r="F3517" s="156">
        <f>'Reported burning'!F3517</f>
        <v>0</v>
      </c>
      <c r="G3517" s="156">
        <f>'Reported burning'!G3517</f>
        <v>0</v>
      </c>
      <c r="H3517" s="156">
        <f>'Reported burning'!H3517</f>
        <v>0</v>
      </c>
      <c r="I3517" s="5"/>
    </row>
    <row r="3518" spans="1:9">
      <c r="A3518" s="156">
        <f>'Reported burning'!A3518</f>
        <v>0</v>
      </c>
      <c r="B3518" s="156">
        <f>'Reported burning'!B3518</f>
        <v>0</v>
      </c>
      <c r="C3518" s="156">
        <f>'Reported burning'!C3518</f>
        <v>0</v>
      </c>
      <c r="D3518" s="156">
        <f>'Reported burning'!D3518</f>
        <v>0</v>
      </c>
      <c r="E3518" s="156">
        <f>'Reported burning'!E3518</f>
        <v>0</v>
      </c>
      <c r="F3518" s="156">
        <f>'Reported burning'!F3518</f>
        <v>0</v>
      </c>
      <c r="G3518" s="156">
        <f>'Reported burning'!G3518</f>
        <v>0</v>
      </c>
      <c r="H3518" s="156">
        <f>'Reported burning'!H3518</f>
        <v>0</v>
      </c>
      <c r="I3518" s="5"/>
    </row>
    <row r="3519" spans="1:9">
      <c r="A3519" s="156">
        <f>'Reported burning'!A3519</f>
        <v>0</v>
      </c>
      <c r="B3519" s="156">
        <f>'Reported burning'!B3519</f>
        <v>0</v>
      </c>
      <c r="C3519" s="156">
        <f>'Reported burning'!C3519</f>
        <v>0</v>
      </c>
      <c r="D3519" s="156">
        <f>'Reported burning'!D3519</f>
        <v>0</v>
      </c>
      <c r="E3519" s="156">
        <f>'Reported burning'!E3519</f>
        <v>0</v>
      </c>
      <c r="F3519" s="156">
        <f>'Reported burning'!F3519</f>
        <v>0</v>
      </c>
      <c r="G3519" s="156">
        <f>'Reported burning'!G3519</f>
        <v>0</v>
      </c>
      <c r="H3519" s="156">
        <f>'Reported burning'!H3519</f>
        <v>0</v>
      </c>
      <c r="I3519" s="5"/>
    </row>
    <row r="3520" spans="1:9">
      <c r="A3520" s="156">
        <f>'Reported burning'!A3520</f>
        <v>0</v>
      </c>
      <c r="B3520" s="156">
        <f>'Reported burning'!B3520</f>
        <v>0</v>
      </c>
      <c r="C3520" s="156">
        <f>'Reported burning'!C3520</f>
        <v>0</v>
      </c>
      <c r="D3520" s="156">
        <f>'Reported burning'!D3520</f>
        <v>0</v>
      </c>
      <c r="E3520" s="156">
        <f>'Reported burning'!E3520</f>
        <v>0</v>
      </c>
      <c r="F3520" s="156">
        <f>'Reported burning'!F3520</f>
        <v>0</v>
      </c>
      <c r="G3520" s="156">
        <f>'Reported burning'!G3520</f>
        <v>0</v>
      </c>
      <c r="H3520" s="156">
        <f>'Reported burning'!H3520</f>
        <v>0</v>
      </c>
      <c r="I3520" s="5"/>
    </row>
    <row r="3521" spans="1:9">
      <c r="A3521" s="156">
        <f>'Reported burning'!A3521</f>
        <v>0</v>
      </c>
      <c r="B3521" s="156">
        <f>'Reported burning'!B3521</f>
        <v>0</v>
      </c>
      <c r="C3521" s="156">
        <f>'Reported burning'!C3521</f>
        <v>0</v>
      </c>
      <c r="D3521" s="156">
        <f>'Reported burning'!D3521</f>
        <v>0</v>
      </c>
      <c r="E3521" s="156">
        <f>'Reported burning'!E3521</f>
        <v>0</v>
      </c>
      <c r="F3521" s="156">
        <f>'Reported burning'!F3521</f>
        <v>0</v>
      </c>
      <c r="G3521" s="156">
        <f>'Reported burning'!G3521</f>
        <v>0</v>
      </c>
      <c r="H3521" s="156">
        <f>'Reported burning'!H3521</f>
        <v>0</v>
      </c>
      <c r="I3521" s="5"/>
    </row>
    <row r="3522" spans="1:9">
      <c r="A3522" s="156">
        <f>'Reported burning'!A3522</f>
        <v>0</v>
      </c>
      <c r="B3522" s="156">
        <f>'Reported burning'!B3522</f>
        <v>0</v>
      </c>
      <c r="C3522" s="156">
        <f>'Reported burning'!C3522</f>
        <v>0</v>
      </c>
      <c r="D3522" s="156">
        <f>'Reported burning'!D3522</f>
        <v>0</v>
      </c>
      <c r="E3522" s="156">
        <f>'Reported burning'!E3522</f>
        <v>0</v>
      </c>
      <c r="F3522" s="156">
        <f>'Reported burning'!F3522</f>
        <v>0</v>
      </c>
      <c r="G3522" s="156">
        <f>'Reported burning'!G3522</f>
        <v>0</v>
      </c>
      <c r="H3522" s="156">
        <f>'Reported burning'!H3522</f>
        <v>0</v>
      </c>
      <c r="I3522" s="5"/>
    </row>
    <row r="3523" spans="1:9">
      <c r="A3523" s="156">
        <f>'Reported burning'!A3523</f>
        <v>0</v>
      </c>
      <c r="B3523" s="156">
        <f>'Reported burning'!B3523</f>
        <v>0</v>
      </c>
      <c r="C3523" s="156">
        <f>'Reported burning'!C3523</f>
        <v>0</v>
      </c>
      <c r="D3523" s="156">
        <f>'Reported burning'!D3523</f>
        <v>0</v>
      </c>
      <c r="E3523" s="156">
        <f>'Reported burning'!E3523</f>
        <v>0</v>
      </c>
      <c r="F3523" s="156">
        <f>'Reported burning'!F3523</f>
        <v>0</v>
      </c>
      <c r="G3523" s="156">
        <f>'Reported burning'!G3523</f>
        <v>0</v>
      </c>
      <c r="H3523" s="156">
        <f>'Reported burning'!H3523</f>
        <v>0</v>
      </c>
      <c r="I3523" s="5"/>
    </row>
    <row r="3524" spans="1:9">
      <c r="A3524" s="156">
        <f>'Reported burning'!A3524</f>
        <v>0</v>
      </c>
      <c r="B3524" s="156">
        <f>'Reported burning'!B3524</f>
        <v>0</v>
      </c>
      <c r="C3524" s="156">
        <f>'Reported burning'!C3524</f>
        <v>0</v>
      </c>
      <c r="D3524" s="156">
        <f>'Reported burning'!D3524</f>
        <v>0</v>
      </c>
      <c r="E3524" s="156">
        <f>'Reported burning'!E3524</f>
        <v>0</v>
      </c>
      <c r="F3524" s="156">
        <f>'Reported burning'!F3524</f>
        <v>0</v>
      </c>
      <c r="G3524" s="156">
        <f>'Reported burning'!G3524</f>
        <v>0</v>
      </c>
      <c r="H3524" s="156">
        <f>'Reported burning'!H3524</f>
        <v>0</v>
      </c>
      <c r="I3524" s="5"/>
    </row>
    <row r="3525" spans="1:9">
      <c r="A3525" s="156">
        <f>'Reported burning'!A3525</f>
        <v>0</v>
      </c>
      <c r="B3525" s="156">
        <f>'Reported burning'!B3525</f>
        <v>0</v>
      </c>
      <c r="C3525" s="156">
        <f>'Reported burning'!C3525</f>
        <v>0</v>
      </c>
      <c r="D3525" s="156">
        <f>'Reported burning'!D3525</f>
        <v>0</v>
      </c>
      <c r="E3525" s="156">
        <f>'Reported burning'!E3525</f>
        <v>0</v>
      </c>
      <c r="F3525" s="156">
        <f>'Reported burning'!F3525</f>
        <v>0</v>
      </c>
      <c r="G3525" s="156">
        <f>'Reported burning'!G3525</f>
        <v>0</v>
      </c>
      <c r="H3525" s="156">
        <f>'Reported burning'!H3525</f>
        <v>0</v>
      </c>
      <c r="I3525" s="5"/>
    </row>
    <row r="3526" spans="1:9">
      <c r="A3526" s="156">
        <f>'Reported burning'!A3526</f>
        <v>0</v>
      </c>
      <c r="B3526" s="156">
        <f>'Reported burning'!B3526</f>
        <v>0</v>
      </c>
      <c r="C3526" s="156">
        <f>'Reported burning'!C3526</f>
        <v>0</v>
      </c>
      <c r="D3526" s="156">
        <f>'Reported burning'!D3526</f>
        <v>0</v>
      </c>
      <c r="E3526" s="156">
        <f>'Reported burning'!E3526</f>
        <v>0</v>
      </c>
      <c r="F3526" s="156">
        <f>'Reported burning'!F3526</f>
        <v>0</v>
      </c>
      <c r="G3526" s="156">
        <f>'Reported burning'!G3526</f>
        <v>0</v>
      </c>
      <c r="H3526" s="156">
        <f>'Reported burning'!H3526</f>
        <v>0</v>
      </c>
      <c r="I3526" s="5"/>
    </row>
    <row r="3527" spans="1:9">
      <c r="A3527" s="156">
        <f>'Reported burning'!A3527</f>
        <v>0</v>
      </c>
      <c r="B3527" s="156">
        <f>'Reported burning'!B3527</f>
        <v>0</v>
      </c>
      <c r="C3527" s="156">
        <f>'Reported burning'!C3527</f>
        <v>0</v>
      </c>
      <c r="D3527" s="156">
        <f>'Reported burning'!D3527</f>
        <v>0</v>
      </c>
      <c r="E3527" s="156">
        <f>'Reported burning'!E3527</f>
        <v>0</v>
      </c>
      <c r="F3527" s="156">
        <f>'Reported burning'!F3527</f>
        <v>0</v>
      </c>
      <c r="G3527" s="156">
        <f>'Reported burning'!G3527</f>
        <v>0</v>
      </c>
      <c r="H3527" s="156">
        <f>'Reported burning'!H3527</f>
        <v>0</v>
      </c>
      <c r="I3527" s="5"/>
    </row>
    <row r="3528" spans="1:9">
      <c r="A3528" s="156">
        <f>'Reported burning'!A3528</f>
        <v>0</v>
      </c>
      <c r="B3528" s="156">
        <f>'Reported burning'!B3528</f>
        <v>0</v>
      </c>
      <c r="C3528" s="156">
        <f>'Reported burning'!C3528</f>
        <v>0</v>
      </c>
      <c r="D3528" s="156">
        <f>'Reported burning'!D3528</f>
        <v>0</v>
      </c>
      <c r="E3528" s="156">
        <f>'Reported burning'!E3528</f>
        <v>0</v>
      </c>
      <c r="F3528" s="156">
        <f>'Reported burning'!F3528</f>
        <v>0</v>
      </c>
      <c r="G3528" s="156">
        <f>'Reported burning'!G3528</f>
        <v>0</v>
      </c>
      <c r="H3528" s="156">
        <f>'Reported burning'!H3528</f>
        <v>0</v>
      </c>
      <c r="I3528" s="5"/>
    </row>
    <row r="3529" spans="1:9">
      <c r="A3529" s="156">
        <f>'Reported burning'!A3529</f>
        <v>0</v>
      </c>
      <c r="B3529" s="156">
        <f>'Reported burning'!B3529</f>
        <v>0</v>
      </c>
      <c r="C3529" s="156">
        <f>'Reported burning'!C3529</f>
        <v>0</v>
      </c>
      <c r="D3529" s="156">
        <f>'Reported burning'!D3529</f>
        <v>0</v>
      </c>
      <c r="E3529" s="156">
        <f>'Reported burning'!E3529</f>
        <v>0</v>
      </c>
      <c r="F3529" s="156">
        <f>'Reported burning'!F3529</f>
        <v>0</v>
      </c>
      <c r="G3529" s="156">
        <f>'Reported burning'!G3529</f>
        <v>0</v>
      </c>
      <c r="H3529" s="156">
        <f>'Reported burning'!H3529</f>
        <v>0</v>
      </c>
      <c r="I3529" s="5"/>
    </row>
    <row r="3530" spans="1:9">
      <c r="A3530" s="156">
        <f>'Reported burning'!A3530</f>
        <v>0</v>
      </c>
      <c r="B3530" s="156">
        <f>'Reported burning'!B3530</f>
        <v>0</v>
      </c>
      <c r="C3530" s="156">
        <f>'Reported burning'!C3530</f>
        <v>0</v>
      </c>
      <c r="D3530" s="156">
        <f>'Reported burning'!D3530</f>
        <v>0</v>
      </c>
      <c r="E3530" s="156">
        <f>'Reported burning'!E3530</f>
        <v>0</v>
      </c>
      <c r="F3530" s="156">
        <f>'Reported burning'!F3530</f>
        <v>0</v>
      </c>
      <c r="G3530" s="156">
        <f>'Reported burning'!G3530</f>
        <v>0</v>
      </c>
      <c r="H3530" s="156">
        <f>'Reported burning'!H3530</f>
        <v>0</v>
      </c>
      <c r="I3530" s="5"/>
    </row>
    <row r="3531" spans="1:9">
      <c r="A3531" s="156">
        <f>'Reported burning'!A3531</f>
        <v>0</v>
      </c>
      <c r="B3531" s="156">
        <f>'Reported burning'!B3531</f>
        <v>0</v>
      </c>
      <c r="C3531" s="156">
        <f>'Reported burning'!C3531</f>
        <v>0</v>
      </c>
      <c r="D3531" s="156">
        <f>'Reported burning'!D3531</f>
        <v>0</v>
      </c>
      <c r="E3531" s="156">
        <f>'Reported burning'!E3531</f>
        <v>0</v>
      </c>
      <c r="F3531" s="156">
        <f>'Reported burning'!F3531</f>
        <v>0</v>
      </c>
      <c r="G3531" s="156">
        <f>'Reported burning'!G3531</f>
        <v>0</v>
      </c>
      <c r="H3531" s="156">
        <f>'Reported burning'!H3531</f>
        <v>0</v>
      </c>
      <c r="I3531" s="5"/>
    </row>
    <row r="3532" spans="1:9">
      <c r="A3532" s="156">
        <f>'Reported burning'!A3532</f>
        <v>0</v>
      </c>
      <c r="B3532" s="156">
        <f>'Reported burning'!B3532</f>
        <v>0</v>
      </c>
      <c r="C3532" s="156">
        <f>'Reported burning'!C3532</f>
        <v>0</v>
      </c>
      <c r="D3532" s="156">
        <f>'Reported burning'!D3532</f>
        <v>0</v>
      </c>
      <c r="E3532" s="156">
        <f>'Reported burning'!E3532</f>
        <v>0</v>
      </c>
      <c r="F3532" s="156">
        <f>'Reported burning'!F3532</f>
        <v>0</v>
      </c>
      <c r="G3532" s="156">
        <f>'Reported burning'!G3532</f>
        <v>0</v>
      </c>
      <c r="H3532" s="156">
        <f>'Reported burning'!H3532</f>
        <v>0</v>
      </c>
      <c r="I3532" s="5"/>
    </row>
    <row r="3533" spans="1:9">
      <c r="A3533" s="156">
        <f>'Reported burning'!A3533</f>
        <v>0</v>
      </c>
      <c r="B3533" s="156">
        <f>'Reported burning'!B3533</f>
        <v>0</v>
      </c>
      <c r="C3533" s="156">
        <f>'Reported burning'!C3533</f>
        <v>0</v>
      </c>
      <c r="D3533" s="156">
        <f>'Reported burning'!D3533</f>
        <v>0</v>
      </c>
      <c r="E3533" s="156">
        <f>'Reported burning'!E3533</f>
        <v>0</v>
      </c>
      <c r="F3533" s="156">
        <f>'Reported burning'!F3533</f>
        <v>0</v>
      </c>
      <c r="G3533" s="156">
        <f>'Reported burning'!G3533</f>
        <v>0</v>
      </c>
      <c r="H3533" s="156">
        <f>'Reported burning'!H3533</f>
        <v>0</v>
      </c>
      <c r="I3533" s="5"/>
    </row>
    <row r="3534" spans="1:9">
      <c r="A3534" s="156">
        <f>'Reported burning'!A3534</f>
        <v>0</v>
      </c>
      <c r="B3534" s="156">
        <f>'Reported burning'!B3534</f>
        <v>0</v>
      </c>
      <c r="C3534" s="156">
        <f>'Reported burning'!C3534</f>
        <v>0</v>
      </c>
      <c r="D3534" s="156">
        <f>'Reported burning'!D3534</f>
        <v>0</v>
      </c>
      <c r="E3534" s="156">
        <f>'Reported burning'!E3534</f>
        <v>0</v>
      </c>
      <c r="F3534" s="156">
        <f>'Reported burning'!F3534</f>
        <v>0</v>
      </c>
      <c r="G3534" s="156">
        <f>'Reported burning'!G3534</f>
        <v>0</v>
      </c>
      <c r="H3534" s="156">
        <f>'Reported burning'!H3534</f>
        <v>0</v>
      </c>
      <c r="I3534" s="5"/>
    </row>
    <row r="3535" spans="1:9">
      <c r="A3535" s="156">
        <f>'Reported burning'!A3535</f>
        <v>0</v>
      </c>
      <c r="B3535" s="156">
        <f>'Reported burning'!B3535</f>
        <v>0</v>
      </c>
      <c r="C3535" s="156">
        <f>'Reported burning'!C3535</f>
        <v>0</v>
      </c>
      <c r="D3535" s="156">
        <f>'Reported burning'!D3535</f>
        <v>0</v>
      </c>
      <c r="E3535" s="156">
        <f>'Reported burning'!E3535</f>
        <v>0</v>
      </c>
      <c r="F3535" s="156">
        <f>'Reported burning'!F3535</f>
        <v>0</v>
      </c>
      <c r="G3535" s="156">
        <f>'Reported burning'!G3535</f>
        <v>0</v>
      </c>
      <c r="H3535" s="156">
        <f>'Reported burning'!H3535</f>
        <v>0</v>
      </c>
      <c r="I3535" s="5"/>
    </row>
    <row r="3536" spans="1:9">
      <c r="A3536" s="156">
        <f>'Reported burning'!A3536</f>
        <v>0</v>
      </c>
      <c r="B3536" s="156">
        <f>'Reported burning'!B3536</f>
        <v>0</v>
      </c>
      <c r="C3536" s="156">
        <f>'Reported burning'!C3536</f>
        <v>0</v>
      </c>
      <c r="D3536" s="156">
        <f>'Reported burning'!D3536</f>
        <v>0</v>
      </c>
      <c r="E3536" s="156">
        <f>'Reported burning'!E3536</f>
        <v>0</v>
      </c>
      <c r="F3536" s="156">
        <f>'Reported burning'!F3536</f>
        <v>0</v>
      </c>
      <c r="G3536" s="156">
        <f>'Reported burning'!G3536</f>
        <v>0</v>
      </c>
      <c r="H3536" s="156">
        <f>'Reported burning'!H3536</f>
        <v>0</v>
      </c>
      <c r="I3536" s="5"/>
    </row>
    <row r="3537" spans="1:9">
      <c r="A3537" s="156">
        <f>'Reported burning'!A3537</f>
        <v>0</v>
      </c>
      <c r="B3537" s="156">
        <f>'Reported burning'!B3537</f>
        <v>0</v>
      </c>
      <c r="C3537" s="156">
        <f>'Reported burning'!C3537</f>
        <v>0</v>
      </c>
      <c r="D3537" s="156">
        <f>'Reported burning'!D3537</f>
        <v>0</v>
      </c>
      <c r="E3537" s="156">
        <f>'Reported burning'!E3537</f>
        <v>0</v>
      </c>
      <c r="F3537" s="156">
        <f>'Reported burning'!F3537</f>
        <v>0</v>
      </c>
      <c r="G3537" s="156">
        <f>'Reported burning'!G3537</f>
        <v>0</v>
      </c>
      <c r="H3537" s="156">
        <f>'Reported burning'!H3537</f>
        <v>0</v>
      </c>
      <c r="I3537" s="5"/>
    </row>
    <row r="3538" spans="1:9">
      <c r="A3538" s="156">
        <f>'Reported burning'!A3538</f>
        <v>0</v>
      </c>
      <c r="B3538" s="156">
        <f>'Reported burning'!B3538</f>
        <v>0</v>
      </c>
      <c r="C3538" s="156">
        <f>'Reported burning'!C3538</f>
        <v>0</v>
      </c>
      <c r="D3538" s="156">
        <f>'Reported burning'!D3538</f>
        <v>0</v>
      </c>
      <c r="E3538" s="156">
        <f>'Reported burning'!E3538</f>
        <v>0</v>
      </c>
      <c r="F3538" s="156">
        <f>'Reported burning'!F3538</f>
        <v>0</v>
      </c>
      <c r="G3538" s="156">
        <f>'Reported burning'!G3538</f>
        <v>0</v>
      </c>
      <c r="H3538" s="156">
        <f>'Reported burning'!H3538</f>
        <v>0</v>
      </c>
      <c r="I3538" s="5"/>
    </row>
    <row r="3539" spans="1:9">
      <c r="A3539" s="156">
        <f>'Reported burning'!A3539</f>
        <v>0</v>
      </c>
      <c r="B3539" s="156">
        <f>'Reported burning'!B3539</f>
        <v>0</v>
      </c>
      <c r="C3539" s="156">
        <f>'Reported burning'!C3539</f>
        <v>0</v>
      </c>
      <c r="D3539" s="156">
        <f>'Reported burning'!D3539</f>
        <v>0</v>
      </c>
      <c r="E3539" s="156">
        <f>'Reported burning'!E3539</f>
        <v>0</v>
      </c>
      <c r="F3539" s="156">
        <f>'Reported burning'!F3539</f>
        <v>0</v>
      </c>
      <c r="G3539" s="156">
        <f>'Reported burning'!G3539</f>
        <v>0</v>
      </c>
      <c r="H3539" s="156">
        <f>'Reported burning'!H3539</f>
        <v>0</v>
      </c>
      <c r="I3539" s="5"/>
    </row>
    <row r="3540" spans="1:9">
      <c r="A3540" s="156">
        <f>'Reported burning'!A3540</f>
        <v>0</v>
      </c>
      <c r="B3540" s="156">
        <f>'Reported burning'!B3540</f>
        <v>0</v>
      </c>
      <c r="C3540" s="156">
        <f>'Reported burning'!C3540</f>
        <v>0</v>
      </c>
      <c r="D3540" s="156">
        <f>'Reported burning'!D3540</f>
        <v>0</v>
      </c>
      <c r="E3540" s="156">
        <f>'Reported burning'!E3540</f>
        <v>0</v>
      </c>
      <c r="F3540" s="156">
        <f>'Reported burning'!F3540</f>
        <v>0</v>
      </c>
      <c r="G3540" s="156">
        <f>'Reported burning'!G3540</f>
        <v>0</v>
      </c>
      <c r="H3540" s="156">
        <f>'Reported burning'!H3540</f>
        <v>0</v>
      </c>
      <c r="I3540" s="5"/>
    </row>
    <row r="3541" spans="1:9">
      <c r="A3541" s="156">
        <f>'Reported burning'!A3541</f>
        <v>0</v>
      </c>
      <c r="B3541" s="156">
        <f>'Reported burning'!B3541</f>
        <v>0</v>
      </c>
      <c r="C3541" s="156">
        <f>'Reported burning'!C3541</f>
        <v>0</v>
      </c>
      <c r="D3541" s="156">
        <f>'Reported burning'!D3541</f>
        <v>0</v>
      </c>
      <c r="E3541" s="156">
        <f>'Reported burning'!E3541</f>
        <v>0</v>
      </c>
      <c r="F3541" s="156">
        <f>'Reported burning'!F3541</f>
        <v>0</v>
      </c>
      <c r="G3541" s="156">
        <f>'Reported burning'!G3541</f>
        <v>0</v>
      </c>
      <c r="H3541" s="156">
        <f>'Reported burning'!H3541</f>
        <v>0</v>
      </c>
      <c r="I3541" s="5"/>
    </row>
    <row r="3542" spans="1:9">
      <c r="A3542" s="156">
        <f>'Reported burning'!A3542</f>
        <v>0</v>
      </c>
      <c r="B3542" s="156">
        <f>'Reported burning'!B3542</f>
        <v>0</v>
      </c>
      <c r="C3542" s="156">
        <f>'Reported burning'!C3542</f>
        <v>0</v>
      </c>
      <c r="D3542" s="156">
        <f>'Reported burning'!D3542</f>
        <v>0</v>
      </c>
      <c r="E3542" s="156">
        <f>'Reported burning'!E3542</f>
        <v>0</v>
      </c>
      <c r="F3542" s="156">
        <f>'Reported burning'!F3542</f>
        <v>0</v>
      </c>
      <c r="G3542" s="156">
        <f>'Reported burning'!G3542</f>
        <v>0</v>
      </c>
      <c r="H3542" s="156">
        <f>'Reported burning'!H3542</f>
        <v>0</v>
      </c>
      <c r="I3542" s="5"/>
    </row>
    <row r="3543" spans="1:9">
      <c r="A3543" s="156">
        <f>'Reported burning'!A3543</f>
        <v>0</v>
      </c>
      <c r="B3543" s="156">
        <f>'Reported burning'!B3543</f>
        <v>0</v>
      </c>
      <c r="C3543" s="156">
        <f>'Reported burning'!C3543</f>
        <v>0</v>
      </c>
      <c r="D3543" s="156">
        <f>'Reported burning'!D3543</f>
        <v>0</v>
      </c>
      <c r="E3543" s="156">
        <f>'Reported burning'!E3543</f>
        <v>0</v>
      </c>
      <c r="F3543" s="156">
        <f>'Reported burning'!F3543</f>
        <v>0</v>
      </c>
      <c r="G3543" s="156">
        <f>'Reported burning'!G3543</f>
        <v>0</v>
      </c>
      <c r="H3543" s="156">
        <f>'Reported burning'!H3543</f>
        <v>0</v>
      </c>
      <c r="I3543" s="5"/>
    </row>
    <row r="3544" spans="1:9">
      <c r="A3544" s="156">
        <f>'Reported burning'!A3544</f>
        <v>0</v>
      </c>
      <c r="B3544" s="156">
        <f>'Reported burning'!B3544</f>
        <v>0</v>
      </c>
      <c r="C3544" s="156">
        <f>'Reported burning'!C3544</f>
        <v>0</v>
      </c>
      <c r="D3544" s="156">
        <f>'Reported burning'!D3544</f>
        <v>0</v>
      </c>
      <c r="E3544" s="156">
        <f>'Reported burning'!E3544</f>
        <v>0</v>
      </c>
      <c r="F3544" s="156">
        <f>'Reported burning'!F3544</f>
        <v>0</v>
      </c>
      <c r="G3544" s="156">
        <f>'Reported burning'!G3544</f>
        <v>0</v>
      </c>
      <c r="H3544" s="156">
        <f>'Reported burning'!H3544</f>
        <v>0</v>
      </c>
      <c r="I3544" s="5"/>
    </row>
    <row r="3545" spans="1:9">
      <c r="A3545" s="156">
        <f>'Reported burning'!A3545</f>
        <v>0</v>
      </c>
      <c r="B3545" s="156">
        <f>'Reported burning'!B3545</f>
        <v>0</v>
      </c>
      <c r="C3545" s="156">
        <f>'Reported burning'!C3545</f>
        <v>0</v>
      </c>
      <c r="D3545" s="156">
        <f>'Reported burning'!D3545</f>
        <v>0</v>
      </c>
      <c r="E3545" s="156">
        <f>'Reported burning'!E3545</f>
        <v>0</v>
      </c>
      <c r="F3545" s="156">
        <f>'Reported burning'!F3545</f>
        <v>0</v>
      </c>
      <c r="G3545" s="156">
        <f>'Reported burning'!G3545</f>
        <v>0</v>
      </c>
      <c r="H3545" s="156">
        <f>'Reported burning'!H3545</f>
        <v>0</v>
      </c>
      <c r="I3545" s="5"/>
    </row>
    <row r="3546" spans="1:9">
      <c r="A3546" s="156">
        <f>'Reported burning'!A3546</f>
        <v>0</v>
      </c>
      <c r="B3546" s="156">
        <f>'Reported burning'!B3546</f>
        <v>0</v>
      </c>
      <c r="C3546" s="156">
        <f>'Reported burning'!C3546</f>
        <v>0</v>
      </c>
      <c r="D3546" s="156">
        <f>'Reported burning'!D3546</f>
        <v>0</v>
      </c>
      <c r="E3546" s="156">
        <f>'Reported burning'!E3546</f>
        <v>0</v>
      </c>
      <c r="F3546" s="156">
        <f>'Reported burning'!F3546</f>
        <v>0</v>
      </c>
      <c r="G3546" s="156">
        <f>'Reported burning'!G3546</f>
        <v>0</v>
      </c>
      <c r="H3546" s="156">
        <f>'Reported burning'!H3546</f>
        <v>0</v>
      </c>
      <c r="I3546" s="5"/>
    </row>
    <row r="3547" spans="1:9">
      <c r="A3547" s="156">
        <f>'Reported burning'!A3547</f>
        <v>0</v>
      </c>
      <c r="B3547" s="156">
        <f>'Reported burning'!B3547</f>
        <v>0</v>
      </c>
      <c r="C3547" s="156">
        <f>'Reported burning'!C3547</f>
        <v>0</v>
      </c>
      <c r="D3547" s="156">
        <f>'Reported burning'!D3547</f>
        <v>0</v>
      </c>
      <c r="E3547" s="156">
        <f>'Reported burning'!E3547</f>
        <v>0</v>
      </c>
      <c r="F3547" s="156">
        <f>'Reported burning'!F3547</f>
        <v>0</v>
      </c>
      <c r="G3547" s="156">
        <f>'Reported burning'!G3547</f>
        <v>0</v>
      </c>
      <c r="H3547" s="156">
        <f>'Reported burning'!H3547</f>
        <v>0</v>
      </c>
      <c r="I3547" s="5"/>
    </row>
    <row r="3548" spans="1:9">
      <c r="A3548" s="156">
        <f>'Reported burning'!A3548</f>
        <v>0</v>
      </c>
      <c r="B3548" s="156">
        <f>'Reported burning'!B3548</f>
        <v>0</v>
      </c>
      <c r="C3548" s="156">
        <f>'Reported burning'!C3548</f>
        <v>0</v>
      </c>
      <c r="D3548" s="156">
        <f>'Reported burning'!D3548</f>
        <v>0</v>
      </c>
      <c r="E3548" s="156">
        <f>'Reported burning'!E3548</f>
        <v>0</v>
      </c>
      <c r="F3548" s="156">
        <f>'Reported burning'!F3548</f>
        <v>0</v>
      </c>
      <c r="G3548" s="156">
        <f>'Reported burning'!G3548</f>
        <v>0</v>
      </c>
      <c r="H3548" s="156">
        <f>'Reported burning'!H3548</f>
        <v>0</v>
      </c>
      <c r="I3548" s="5"/>
    </row>
    <row r="3549" spans="1:9">
      <c r="A3549" s="156">
        <f>'Reported burning'!A3549</f>
        <v>0</v>
      </c>
      <c r="B3549" s="156">
        <f>'Reported burning'!B3549</f>
        <v>0</v>
      </c>
      <c r="C3549" s="156">
        <f>'Reported burning'!C3549</f>
        <v>0</v>
      </c>
      <c r="D3549" s="156">
        <f>'Reported burning'!D3549</f>
        <v>0</v>
      </c>
      <c r="E3549" s="156">
        <f>'Reported burning'!E3549</f>
        <v>0</v>
      </c>
      <c r="F3549" s="156">
        <f>'Reported burning'!F3549</f>
        <v>0</v>
      </c>
      <c r="G3549" s="156">
        <f>'Reported burning'!G3549</f>
        <v>0</v>
      </c>
      <c r="H3549" s="156">
        <f>'Reported burning'!H3549</f>
        <v>0</v>
      </c>
      <c r="I3549" s="5"/>
    </row>
    <row r="3550" spans="1:9">
      <c r="A3550" s="156">
        <f>'Reported burning'!A3550</f>
        <v>0</v>
      </c>
      <c r="B3550" s="156">
        <f>'Reported burning'!B3550</f>
        <v>0</v>
      </c>
      <c r="C3550" s="156">
        <f>'Reported burning'!C3550</f>
        <v>0</v>
      </c>
      <c r="D3550" s="156">
        <f>'Reported burning'!D3550</f>
        <v>0</v>
      </c>
      <c r="E3550" s="156">
        <f>'Reported burning'!E3550</f>
        <v>0</v>
      </c>
      <c r="F3550" s="156">
        <f>'Reported burning'!F3550</f>
        <v>0</v>
      </c>
      <c r="G3550" s="156">
        <f>'Reported burning'!G3550</f>
        <v>0</v>
      </c>
      <c r="H3550" s="156">
        <f>'Reported burning'!H3550</f>
        <v>0</v>
      </c>
      <c r="I3550" s="5"/>
    </row>
    <row r="3551" spans="1:9">
      <c r="A3551" s="156">
        <f>'Reported burning'!A3551</f>
        <v>0</v>
      </c>
      <c r="B3551" s="156">
        <f>'Reported burning'!B3551</f>
        <v>0</v>
      </c>
      <c r="C3551" s="156">
        <f>'Reported burning'!C3551</f>
        <v>0</v>
      </c>
      <c r="D3551" s="156">
        <f>'Reported burning'!D3551</f>
        <v>0</v>
      </c>
      <c r="E3551" s="156">
        <f>'Reported burning'!E3551</f>
        <v>0</v>
      </c>
      <c r="F3551" s="156">
        <f>'Reported burning'!F3551</f>
        <v>0</v>
      </c>
      <c r="G3551" s="156">
        <f>'Reported burning'!G3551</f>
        <v>0</v>
      </c>
      <c r="H3551" s="156">
        <f>'Reported burning'!H3551</f>
        <v>0</v>
      </c>
      <c r="I3551" s="5"/>
    </row>
    <row r="3552" spans="1:9">
      <c r="A3552" s="156">
        <f>'Reported burning'!A3552</f>
        <v>0</v>
      </c>
      <c r="B3552" s="156">
        <f>'Reported burning'!B3552</f>
        <v>0</v>
      </c>
      <c r="C3552" s="156">
        <f>'Reported burning'!C3552</f>
        <v>0</v>
      </c>
      <c r="D3552" s="156">
        <f>'Reported burning'!D3552</f>
        <v>0</v>
      </c>
      <c r="E3552" s="156">
        <f>'Reported burning'!E3552</f>
        <v>0</v>
      </c>
      <c r="F3552" s="156">
        <f>'Reported burning'!F3552</f>
        <v>0</v>
      </c>
      <c r="G3552" s="156">
        <f>'Reported burning'!G3552</f>
        <v>0</v>
      </c>
      <c r="H3552" s="156">
        <f>'Reported burning'!H3552</f>
        <v>0</v>
      </c>
      <c r="I3552" s="5"/>
    </row>
    <row r="3553" spans="1:9">
      <c r="A3553" s="156">
        <f>'Reported burning'!A3553</f>
        <v>0</v>
      </c>
      <c r="B3553" s="156">
        <f>'Reported burning'!B3553</f>
        <v>0</v>
      </c>
      <c r="C3553" s="156">
        <f>'Reported burning'!C3553</f>
        <v>0</v>
      </c>
      <c r="D3553" s="156">
        <f>'Reported burning'!D3553</f>
        <v>0</v>
      </c>
      <c r="E3553" s="156">
        <f>'Reported burning'!E3553</f>
        <v>0</v>
      </c>
      <c r="F3553" s="156">
        <f>'Reported burning'!F3553</f>
        <v>0</v>
      </c>
      <c r="G3553" s="156">
        <f>'Reported burning'!G3553</f>
        <v>0</v>
      </c>
      <c r="H3553" s="156">
        <f>'Reported burning'!H3553</f>
        <v>0</v>
      </c>
      <c r="I3553" s="5"/>
    </row>
    <row r="3554" spans="1:9">
      <c r="A3554" s="156">
        <f>'Reported burning'!A3554</f>
        <v>0</v>
      </c>
      <c r="B3554" s="156">
        <f>'Reported burning'!B3554</f>
        <v>0</v>
      </c>
      <c r="C3554" s="156">
        <f>'Reported burning'!C3554</f>
        <v>0</v>
      </c>
      <c r="D3554" s="156">
        <f>'Reported burning'!D3554</f>
        <v>0</v>
      </c>
      <c r="E3554" s="156">
        <f>'Reported burning'!E3554</f>
        <v>0</v>
      </c>
      <c r="F3554" s="156">
        <f>'Reported burning'!F3554</f>
        <v>0</v>
      </c>
      <c r="G3554" s="156">
        <f>'Reported burning'!G3554</f>
        <v>0</v>
      </c>
      <c r="H3554" s="156">
        <f>'Reported burning'!H3554</f>
        <v>0</v>
      </c>
      <c r="I3554" s="5"/>
    </row>
    <row r="3555" spans="1:9">
      <c r="A3555" s="156">
        <f>'Reported burning'!A3555</f>
        <v>0</v>
      </c>
      <c r="B3555" s="156">
        <f>'Reported burning'!B3555</f>
        <v>0</v>
      </c>
      <c r="C3555" s="156">
        <f>'Reported burning'!C3555</f>
        <v>0</v>
      </c>
      <c r="D3555" s="156">
        <f>'Reported burning'!D3555</f>
        <v>0</v>
      </c>
      <c r="E3555" s="156">
        <f>'Reported burning'!E3555</f>
        <v>0</v>
      </c>
      <c r="F3555" s="156">
        <f>'Reported burning'!F3555</f>
        <v>0</v>
      </c>
      <c r="G3555" s="156">
        <f>'Reported burning'!G3555</f>
        <v>0</v>
      </c>
      <c r="H3555" s="156">
        <f>'Reported burning'!H3555</f>
        <v>0</v>
      </c>
      <c r="I3555" s="5"/>
    </row>
    <row r="3556" spans="1:9">
      <c r="A3556" s="156">
        <f>'Reported burning'!A3556</f>
        <v>0</v>
      </c>
      <c r="B3556" s="156">
        <f>'Reported burning'!B3556</f>
        <v>0</v>
      </c>
      <c r="C3556" s="156">
        <f>'Reported burning'!C3556</f>
        <v>0</v>
      </c>
      <c r="D3556" s="156">
        <f>'Reported burning'!D3556</f>
        <v>0</v>
      </c>
      <c r="E3556" s="156">
        <f>'Reported burning'!E3556</f>
        <v>0</v>
      </c>
      <c r="F3556" s="156">
        <f>'Reported burning'!F3556</f>
        <v>0</v>
      </c>
      <c r="G3556" s="156">
        <f>'Reported burning'!G3556</f>
        <v>0</v>
      </c>
      <c r="H3556" s="156">
        <f>'Reported burning'!H3556</f>
        <v>0</v>
      </c>
      <c r="I3556" s="5"/>
    </row>
    <row r="3557" spans="1:9">
      <c r="A3557" s="156">
        <f>'Reported burning'!A3557</f>
        <v>0</v>
      </c>
      <c r="B3557" s="156">
        <f>'Reported burning'!B3557</f>
        <v>0</v>
      </c>
      <c r="C3557" s="156">
        <f>'Reported burning'!C3557</f>
        <v>0</v>
      </c>
      <c r="D3557" s="156">
        <f>'Reported burning'!D3557</f>
        <v>0</v>
      </c>
      <c r="E3557" s="156">
        <f>'Reported burning'!E3557</f>
        <v>0</v>
      </c>
      <c r="F3557" s="156">
        <f>'Reported burning'!F3557</f>
        <v>0</v>
      </c>
      <c r="G3557" s="156">
        <f>'Reported burning'!G3557</f>
        <v>0</v>
      </c>
      <c r="H3557" s="156">
        <f>'Reported burning'!H3557</f>
        <v>0</v>
      </c>
      <c r="I3557" s="5"/>
    </row>
    <row r="3558" spans="1:9">
      <c r="A3558" s="156">
        <f>'Reported burning'!A3558</f>
        <v>0</v>
      </c>
      <c r="B3558" s="156">
        <f>'Reported burning'!B3558</f>
        <v>0</v>
      </c>
      <c r="C3558" s="156">
        <f>'Reported burning'!C3558</f>
        <v>0</v>
      </c>
      <c r="D3558" s="156">
        <f>'Reported burning'!D3558</f>
        <v>0</v>
      </c>
      <c r="E3558" s="156">
        <f>'Reported burning'!E3558</f>
        <v>0</v>
      </c>
      <c r="F3558" s="156">
        <f>'Reported burning'!F3558</f>
        <v>0</v>
      </c>
      <c r="G3558" s="156">
        <f>'Reported burning'!G3558</f>
        <v>0</v>
      </c>
      <c r="H3558" s="156">
        <f>'Reported burning'!H3558</f>
        <v>0</v>
      </c>
      <c r="I3558" s="5"/>
    </row>
    <row r="3559" spans="1:9">
      <c r="A3559" s="156">
        <f>'Reported burning'!A3559</f>
        <v>0</v>
      </c>
      <c r="B3559" s="156">
        <f>'Reported burning'!B3559</f>
        <v>0</v>
      </c>
      <c r="C3559" s="156">
        <f>'Reported burning'!C3559</f>
        <v>0</v>
      </c>
      <c r="D3559" s="156">
        <f>'Reported burning'!D3559</f>
        <v>0</v>
      </c>
      <c r="E3559" s="156">
        <f>'Reported burning'!E3559</f>
        <v>0</v>
      </c>
      <c r="F3559" s="156">
        <f>'Reported burning'!F3559</f>
        <v>0</v>
      </c>
      <c r="G3559" s="156">
        <f>'Reported burning'!G3559</f>
        <v>0</v>
      </c>
      <c r="H3559" s="156">
        <f>'Reported burning'!H3559</f>
        <v>0</v>
      </c>
      <c r="I3559" s="5"/>
    </row>
    <row r="3560" spans="1:9">
      <c r="A3560" s="156">
        <f>'Reported burning'!A3560</f>
        <v>0</v>
      </c>
      <c r="B3560" s="156">
        <f>'Reported burning'!B3560</f>
        <v>0</v>
      </c>
      <c r="C3560" s="156">
        <f>'Reported burning'!C3560</f>
        <v>0</v>
      </c>
      <c r="D3560" s="156">
        <f>'Reported burning'!D3560</f>
        <v>0</v>
      </c>
      <c r="E3560" s="156">
        <f>'Reported burning'!E3560</f>
        <v>0</v>
      </c>
      <c r="F3560" s="156">
        <f>'Reported burning'!F3560</f>
        <v>0</v>
      </c>
      <c r="G3560" s="156">
        <f>'Reported burning'!G3560</f>
        <v>0</v>
      </c>
      <c r="H3560" s="156">
        <f>'Reported burning'!H3560</f>
        <v>0</v>
      </c>
      <c r="I3560" s="5"/>
    </row>
    <row r="3561" spans="1:9">
      <c r="A3561" s="156">
        <f>'Reported burning'!A3561</f>
        <v>0</v>
      </c>
      <c r="B3561" s="156">
        <f>'Reported burning'!B3561</f>
        <v>0</v>
      </c>
      <c r="C3561" s="156">
        <f>'Reported burning'!C3561</f>
        <v>0</v>
      </c>
      <c r="D3561" s="156">
        <f>'Reported burning'!D3561</f>
        <v>0</v>
      </c>
      <c r="E3561" s="156">
        <f>'Reported burning'!E3561</f>
        <v>0</v>
      </c>
      <c r="F3561" s="156">
        <f>'Reported burning'!F3561</f>
        <v>0</v>
      </c>
      <c r="G3561" s="156">
        <f>'Reported burning'!G3561</f>
        <v>0</v>
      </c>
      <c r="H3561" s="156">
        <f>'Reported burning'!H3561</f>
        <v>0</v>
      </c>
      <c r="I3561" s="5"/>
    </row>
    <row r="3562" spans="1:9">
      <c r="A3562" s="156">
        <f>'Reported burning'!A3562</f>
        <v>0</v>
      </c>
      <c r="B3562" s="156">
        <f>'Reported burning'!B3562</f>
        <v>0</v>
      </c>
      <c r="C3562" s="156">
        <f>'Reported burning'!C3562</f>
        <v>0</v>
      </c>
      <c r="D3562" s="156">
        <f>'Reported burning'!D3562</f>
        <v>0</v>
      </c>
      <c r="E3562" s="156">
        <f>'Reported burning'!E3562</f>
        <v>0</v>
      </c>
      <c r="F3562" s="156">
        <f>'Reported burning'!F3562</f>
        <v>0</v>
      </c>
      <c r="G3562" s="156">
        <f>'Reported burning'!G3562</f>
        <v>0</v>
      </c>
      <c r="H3562" s="156">
        <f>'Reported burning'!H3562</f>
        <v>0</v>
      </c>
      <c r="I3562" s="5"/>
    </row>
    <row r="3563" spans="1:9">
      <c r="A3563" s="156">
        <f>'Reported burning'!A3563</f>
        <v>0</v>
      </c>
      <c r="B3563" s="156">
        <f>'Reported burning'!B3563</f>
        <v>0</v>
      </c>
      <c r="C3563" s="156">
        <f>'Reported burning'!C3563</f>
        <v>0</v>
      </c>
      <c r="D3563" s="156">
        <f>'Reported burning'!D3563</f>
        <v>0</v>
      </c>
      <c r="E3563" s="156">
        <f>'Reported burning'!E3563</f>
        <v>0</v>
      </c>
      <c r="F3563" s="156">
        <f>'Reported burning'!F3563</f>
        <v>0</v>
      </c>
      <c r="G3563" s="156">
        <f>'Reported burning'!G3563</f>
        <v>0</v>
      </c>
      <c r="H3563" s="156">
        <f>'Reported burning'!H3563</f>
        <v>0</v>
      </c>
      <c r="I3563" s="5"/>
    </row>
    <row r="3564" spans="1:9">
      <c r="A3564" s="156">
        <f>'Reported burning'!A3564</f>
        <v>0</v>
      </c>
      <c r="B3564" s="156">
        <f>'Reported burning'!B3564</f>
        <v>0</v>
      </c>
      <c r="C3564" s="156">
        <f>'Reported burning'!C3564</f>
        <v>0</v>
      </c>
      <c r="D3564" s="156">
        <f>'Reported burning'!D3564</f>
        <v>0</v>
      </c>
      <c r="E3564" s="156">
        <f>'Reported burning'!E3564</f>
        <v>0</v>
      </c>
      <c r="F3564" s="156">
        <f>'Reported burning'!F3564</f>
        <v>0</v>
      </c>
      <c r="G3564" s="156">
        <f>'Reported burning'!G3564</f>
        <v>0</v>
      </c>
      <c r="H3564" s="156">
        <f>'Reported burning'!H3564</f>
        <v>0</v>
      </c>
      <c r="I3564" s="5"/>
    </row>
    <row r="3565" spans="1:9">
      <c r="A3565" s="156">
        <f>'Reported burning'!A3565</f>
        <v>0</v>
      </c>
      <c r="B3565" s="156">
        <f>'Reported burning'!B3565</f>
        <v>0</v>
      </c>
      <c r="C3565" s="156">
        <f>'Reported burning'!C3565</f>
        <v>0</v>
      </c>
      <c r="D3565" s="156">
        <f>'Reported burning'!D3565</f>
        <v>0</v>
      </c>
      <c r="E3565" s="156">
        <f>'Reported burning'!E3565</f>
        <v>0</v>
      </c>
      <c r="F3565" s="156">
        <f>'Reported burning'!F3565</f>
        <v>0</v>
      </c>
      <c r="G3565" s="156">
        <f>'Reported burning'!G3565</f>
        <v>0</v>
      </c>
      <c r="H3565" s="156">
        <f>'Reported burning'!H3565</f>
        <v>0</v>
      </c>
      <c r="I3565" s="5"/>
    </row>
    <row r="3566" spans="1:9">
      <c r="A3566" s="156">
        <f>'Reported burning'!A3566</f>
        <v>0</v>
      </c>
      <c r="B3566" s="156">
        <f>'Reported burning'!B3566</f>
        <v>0</v>
      </c>
      <c r="C3566" s="156">
        <f>'Reported burning'!C3566</f>
        <v>0</v>
      </c>
      <c r="D3566" s="156">
        <f>'Reported burning'!D3566</f>
        <v>0</v>
      </c>
      <c r="E3566" s="156">
        <f>'Reported burning'!E3566</f>
        <v>0</v>
      </c>
      <c r="F3566" s="156">
        <f>'Reported burning'!F3566</f>
        <v>0</v>
      </c>
      <c r="G3566" s="156">
        <f>'Reported burning'!G3566</f>
        <v>0</v>
      </c>
      <c r="H3566" s="156">
        <f>'Reported burning'!H3566</f>
        <v>0</v>
      </c>
      <c r="I3566" s="5"/>
    </row>
    <row r="3567" spans="1:9">
      <c r="A3567" s="156">
        <f>'Reported burning'!A3567</f>
        <v>0</v>
      </c>
      <c r="B3567" s="156">
        <f>'Reported burning'!B3567</f>
        <v>0</v>
      </c>
      <c r="C3567" s="156">
        <f>'Reported burning'!C3567</f>
        <v>0</v>
      </c>
      <c r="D3567" s="156">
        <f>'Reported burning'!D3567</f>
        <v>0</v>
      </c>
      <c r="E3567" s="156">
        <f>'Reported burning'!E3567</f>
        <v>0</v>
      </c>
      <c r="F3567" s="156">
        <f>'Reported burning'!F3567</f>
        <v>0</v>
      </c>
      <c r="G3567" s="156">
        <f>'Reported burning'!G3567</f>
        <v>0</v>
      </c>
      <c r="H3567" s="156">
        <f>'Reported burning'!H3567</f>
        <v>0</v>
      </c>
      <c r="I3567" s="5"/>
    </row>
    <row r="3568" spans="1:9">
      <c r="A3568" s="156">
        <f>'Reported burning'!A3568</f>
        <v>0</v>
      </c>
      <c r="B3568" s="156">
        <f>'Reported burning'!B3568</f>
        <v>0</v>
      </c>
      <c r="C3568" s="156">
        <f>'Reported burning'!C3568</f>
        <v>0</v>
      </c>
      <c r="D3568" s="156">
        <f>'Reported burning'!D3568</f>
        <v>0</v>
      </c>
      <c r="E3568" s="156">
        <f>'Reported burning'!E3568</f>
        <v>0</v>
      </c>
      <c r="F3568" s="156">
        <f>'Reported burning'!F3568</f>
        <v>0</v>
      </c>
      <c r="G3568" s="156">
        <f>'Reported burning'!G3568</f>
        <v>0</v>
      </c>
      <c r="H3568" s="156">
        <f>'Reported burning'!H3568</f>
        <v>0</v>
      </c>
      <c r="I3568" s="5"/>
    </row>
    <row r="3569" spans="1:9">
      <c r="A3569" s="156">
        <f>'Reported burning'!A3569</f>
        <v>0</v>
      </c>
      <c r="B3569" s="156">
        <f>'Reported burning'!B3569</f>
        <v>0</v>
      </c>
      <c r="C3569" s="156">
        <f>'Reported burning'!C3569</f>
        <v>0</v>
      </c>
      <c r="D3569" s="156">
        <f>'Reported burning'!D3569</f>
        <v>0</v>
      </c>
      <c r="E3569" s="156">
        <f>'Reported burning'!E3569</f>
        <v>0</v>
      </c>
      <c r="F3569" s="156">
        <f>'Reported burning'!F3569</f>
        <v>0</v>
      </c>
      <c r="G3569" s="156">
        <f>'Reported burning'!G3569</f>
        <v>0</v>
      </c>
      <c r="H3569" s="156">
        <f>'Reported burning'!H3569</f>
        <v>0</v>
      </c>
      <c r="I3569" s="5"/>
    </row>
    <row r="3570" spans="1:9">
      <c r="A3570" s="156">
        <f>'Reported burning'!A3570</f>
        <v>0</v>
      </c>
      <c r="B3570" s="156">
        <f>'Reported burning'!B3570</f>
        <v>0</v>
      </c>
      <c r="C3570" s="156">
        <f>'Reported burning'!C3570</f>
        <v>0</v>
      </c>
      <c r="D3570" s="156">
        <f>'Reported burning'!D3570</f>
        <v>0</v>
      </c>
      <c r="E3570" s="156">
        <f>'Reported burning'!E3570</f>
        <v>0</v>
      </c>
      <c r="F3570" s="156">
        <f>'Reported burning'!F3570</f>
        <v>0</v>
      </c>
      <c r="G3570" s="156">
        <f>'Reported burning'!G3570</f>
        <v>0</v>
      </c>
      <c r="H3570" s="156">
        <f>'Reported burning'!H3570</f>
        <v>0</v>
      </c>
      <c r="I3570" s="5"/>
    </row>
    <row r="3571" spans="1:9">
      <c r="A3571" s="156">
        <f>'Reported burning'!A3571</f>
        <v>0</v>
      </c>
      <c r="B3571" s="156">
        <f>'Reported burning'!B3571</f>
        <v>0</v>
      </c>
      <c r="C3571" s="156">
        <f>'Reported burning'!C3571</f>
        <v>0</v>
      </c>
      <c r="D3571" s="156">
        <f>'Reported burning'!D3571</f>
        <v>0</v>
      </c>
      <c r="E3571" s="156">
        <f>'Reported burning'!E3571</f>
        <v>0</v>
      </c>
      <c r="F3571" s="156">
        <f>'Reported burning'!F3571</f>
        <v>0</v>
      </c>
      <c r="G3571" s="156">
        <f>'Reported burning'!G3571</f>
        <v>0</v>
      </c>
      <c r="H3571" s="156">
        <f>'Reported burning'!H3571</f>
        <v>0</v>
      </c>
      <c r="I3571" s="5"/>
    </row>
    <row r="3572" spans="1:9">
      <c r="A3572" s="156">
        <f>'Reported burning'!A3572</f>
        <v>0</v>
      </c>
      <c r="B3572" s="156">
        <f>'Reported burning'!B3572</f>
        <v>0</v>
      </c>
      <c r="C3572" s="156">
        <f>'Reported burning'!C3572</f>
        <v>0</v>
      </c>
      <c r="D3572" s="156">
        <f>'Reported burning'!D3572</f>
        <v>0</v>
      </c>
      <c r="E3572" s="156">
        <f>'Reported burning'!E3572</f>
        <v>0</v>
      </c>
      <c r="F3572" s="156">
        <f>'Reported burning'!F3572</f>
        <v>0</v>
      </c>
      <c r="G3572" s="156">
        <f>'Reported burning'!G3572</f>
        <v>0</v>
      </c>
      <c r="H3572" s="156">
        <f>'Reported burning'!H3572</f>
        <v>0</v>
      </c>
      <c r="I3572" s="5"/>
    </row>
    <row r="3573" spans="1:9">
      <c r="A3573" s="156">
        <f>'Reported burning'!A3573</f>
        <v>0</v>
      </c>
      <c r="B3573" s="156">
        <f>'Reported burning'!B3573</f>
        <v>0</v>
      </c>
      <c r="C3573" s="156">
        <f>'Reported burning'!C3573</f>
        <v>0</v>
      </c>
      <c r="D3573" s="156">
        <f>'Reported burning'!D3573</f>
        <v>0</v>
      </c>
      <c r="E3573" s="156">
        <f>'Reported burning'!E3573</f>
        <v>0</v>
      </c>
      <c r="F3573" s="156">
        <f>'Reported burning'!F3573</f>
        <v>0</v>
      </c>
      <c r="G3573" s="156">
        <f>'Reported burning'!G3573</f>
        <v>0</v>
      </c>
      <c r="H3573" s="156">
        <f>'Reported burning'!H3573</f>
        <v>0</v>
      </c>
      <c r="I3573" s="5"/>
    </row>
    <row r="3574" spans="1:9">
      <c r="A3574" s="156">
        <f>'Reported burning'!A3574</f>
        <v>0</v>
      </c>
      <c r="B3574" s="156">
        <f>'Reported burning'!B3574</f>
        <v>0</v>
      </c>
      <c r="C3574" s="156">
        <f>'Reported burning'!C3574</f>
        <v>0</v>
      </c>
      <c r="D3574" s="156">
        <f>'Reported burning'!D3574</f>
        <v>0</v>
      </c>
      <c r="E3574" s="156">
        <f>'Reported burning'!E3574</f>
        <v>0</v>
      </c>
      <c r="F3574" s="156">
        <f>'Reported burning'!F3574</f>
        <v>0</v>
      </c>
      <c r="G3574" s="156">
        <f>'Reported burning'!G3574</f>
        <v>0</v>
      </c>
      <c r="H3574" s="156">
        <f>'Reported burning'!H3574</f>
        <v>0</v>
      </c>
      <c r="I3574" s="5"/>
    </row>
    <row r="3575" spans="1:9">
      <c r="A3575" s="156">
        <f>'Reported burning'!A3575</f>
        <v>0</v>
      </c>
      <c r="B3575" s="156">
        <f>'Reported burning'!B3575</f>
        <v>0</v>
      </c>
      <c r="C3575" s="156">
        <f>'Reported burning'!C3575</f>
        <v>0</v>
      </c>
      <c r="D3575" s="156">
        <f>'Reported burning'!D3575</f>
        <v>0</v>
      </c>
      <c r="E3575" s="156">
        <f>'Reported burning'!E3575</f>
        <v>0</v>
      </c>
      <c r="F3575" s="156">
        <f>'Reported burning'!F3575</f>
        <v>0</v>
      </c>
      <c r="G3575" s="156">
        <f>'Reported burning'!G3575</f>
        <v>0</v>
      </c>
      <c r="H3575" s="156">
        <f>'Reported burning'!H3575</f>
        <v>0</v>
      </c>
      <c r="I3575" s="5"/>
    </row>
    <row r="3576" spans="1:9">
      <c r="A3576" s="156">
        <f>'Reported burning'!A3576</f>
        <v>0</v>
      </c>
      <c r="B3576" s="156">
        <f>'Reported burning'!B3576</f>
        <v>0</v>
      </c>
      <c r="C3576" s="156">
        <f>'Reported burning'!C3576</f>
        <v>0</v>
      </c>
      <c r="D3576" s="156">
        <f>'Reported burning'!D3576</f>
        <v>0</v>
      </c>
      <c r="E3576" s="156">
        <f>'Reported burning'!E3576</f>
        <v>0</v>
      </c>
      <c r="F3576" s="156">
        <f>'Reported burning'!F3576</f>
        <v>0</v>
      </c>
      <c r="G3576" s="156">
        <f>'Reported burning'!G3576</f>
        <v>0</v>
      </c>
      <c r="H3576" s="156">
        <f>'Reported burning'!H3576</f>
        <v>0</v>
      </c>
      <c r="I3576" s="5"/>
    </row>
    <row r="3577" spans="1:9">
      <c r="A3577" s="156">
        <f>'Reported burning'!A3577</f>
        <v>0</v>
      </c>
      <c r="B3577" s="156">
        <f>'Reported burning'!B3577</f>
        <v>0</v>
      </c>
      <c r="C3577" s="156">
        <f>'Reported burning'!C3577</f>
        <v>0</v>
      </c>
      <c r="D3577" s="156">
        <f>'Reported burning'!D3577</f>
        <v>0</v>
      </c>
      <c r="E3577" s="156">
        <f>'Reported burning'!E3577</f>
        <v>0</v>
      </c>
      <c r="F3577" s="156">
        <f>'Reported burning'!F3577</f>
        <v>0</v>
      </c>
      <c r="G3577" s="156">
        <f>'Reported burning'!G3577</f>
        <v>0</v>
      </c>
      <c r="H3577" s="156">
        <f>'Reported burning'!H3577</f>
        <v>0</v>
      </c>
      <c r="I3577" s="5"/>
    </row>
    <row r="3578" spans="1:9">
      <c r="A3578" s="156">
        <f>'Reported burning'!A3578</f>
        <v>0</v>
      </c>
      <c r="B3578" s="156">
        <f>'Reported burning'!B3578</f>
        <v>0</v>
      </c>
      <c r="C3578" s="156">
        <f>'Reported burning'!C3578</f>
        <v>0</v>
      </c>
      <c r="D3578" s="156">
        <f>'Reported burning'!D3578</f>
        <v>0</v>
      </c>
      <c r="E3578" s="156">
        <f>'Reported burning'!E3578</f>
        <v>0</v>
      </c>
      <c r="F3578" s="156">
        <f>'Reported burning'!F3578</f>
        <v>0</v>
      </c>
      <c r="G3578" s="156">
        <f>'Reported burning'!G3578</f>
        <v>0</v>
      </c>
      <c r="H3578" s="156">
        <f>'Reported burning'!H3578</f>
        <v>0</v>
      </c>
      <c r="I3578" s="5"/>
    </row>
    <row r="3579" spans="1:9">
      <c r="A3579" s="156">
        <f>'Reported burning'!A3579</f>
        <v>0</v>
      </c>
      <c r="B3579" s="156">
        <f>'Reported burning'!B3579</f>
        <v>0</v>
      </c>
      <c r="C3579" s="156">
        <f>'Reported burning'!C3579</f>
        <v>0</v>
      </c>
      <c r="D3579" s="156">
        <f>'Reported burning'!D3579</f>
        <v>0</v>
      </c>
      <c r="E3579" s="156">
        <f>'Reported burning'!E3579</f>
        <v>0</v>
      </c>
      <c r="F3579" s="156">
        <f>'Reported burning'!F3579</f>
        <v>0</v>
      </c>
      <c r="G3579" s="156">
        <f>'Reported burning'!G3579</f>
        <v>0</v>
      </c>
      <c r="H3579" s="156">
        <f>'Reported burning'!H3579</f>
        <v>0</v>
      </c>
      <c r="I3579" s="5"/>
    </row>
    <row r="3580" spans="1:9">
      <c r="A3580" s="156">
        <f>'Reported burning'!A3580</f>
        <v>0</v>
      </c>
      <c r="B3580" s="156">
        <f>'Reported burning'!B3580</f>
        <v>0</v>
      </c>
      <c r="C3580" s="156">
        <f>'Reported burning'!C3580</f>
        <v>0</v>
      </c>
      <c r="D3580" s="156">
        <f>'Reported burning'!D3580</f>
        <v>0</v>
      </c>
      <c r="E3580" s="156">
        <f>'Reported burning'!E3580</f>
        <v>0</v>
      </c>
      <c r="F3580" s="156">
        <f>'Reported burning'!F3580</f>
        <v>0</v>
      </c>
      <c r="G3580" s="156">
        <f>'Reported burning'!G3580</f>
        <v>0</v>
      </c>
      <c r="H3580" s="156">
        <f>'Reported burning'!H3580</f>
        <v>0</v>
      </c>
      <c r="I3580" s="5"/>
    </row>
    <row r="3581" spans="1:9">
      <c r="A3581" s="156">
        <f>'Reported burning'!A3581</f>
        <v>0</v>
      </c>
      <c r="B3581" s="156">
        <f>'Reported burning'!B3581</f>
        <v>0</v>
      </c>
      <c r="C3581" s="156">
        <f>'Reported burning'!C3581</f>
        <v>0</v>
      </c>
      <c r="D3581" s="156">
        <f>'Reported burning'!D3581</f>
        <v>0</v>
      </c>
      <c r="E3581" s="156">
        <f>'Reported burning'!E3581</f>
        <v>0</v>
      </c>
      <c r="F3581" s="156">
        <f>'Reported burning'!F3581</f>
        <v>0</v>
      </c>
      <c r="G3581" s="156">
        <f>'Reported burning'!G3581</f>
        <v>0</v>
      </c>
      <c r="H3581" s="156">
        <f>'Reported burning'!H3581</f>
        <v>0</v>
      </c>
      <c r="I3581" s="5"/>
    </row>
    <row r="3582" spans="1:9">
      <c r="A3582" s="156">
        <f>'Reported burning'!A3582</f>
        <v>0</v>
      </c>
      <c r="B3582" s="156">
        <f>'Reported burning'!B3582</f>
        <v>0</v>
      </c>
      <c r="C3582" s="156">
        <f>'Reported burning'!C3582</f>
        <v>0</v>
      </c>
      <c r="D3582" s="156">
        <f>'Reported burning'!D3582</f>
        <v>0</v>
      </c>
      <c r="E3582" s="156">
        <f>'Reported burning'!E3582</f>
        <v>0</v>
      </c>
      <c r="F3582" s="156">
        <f>'Reported burning'!F3582</f>
        <v>0</v>
      </c>
      <c r="G3582" s="156">
        <f>'Reported burning'!G3582</f>
        <v>0</v>
      </c>
      <c r="H3582" s="156">
        <f>'Reported burning'!H3582</f>
        <v>0</v>
      </c>
      <c r="I3582" s="5"/>
    </row>
    <row r="3583" spans="1:9">
      <c r="A3583" s="156">
        <f>'Reported burning'!A3583</f>
        <v>0</v>
      </c>
      <c r="B3583" s="156">
        <f>'Reported burning'!B3583</f>
        <v>0</v>
      </c>
      <c r="C3583" s="156">
        <f>'Reported burning'!C3583</f>
        <v>0</v>
      </c>
      <c r="D3583" s="156">
        <f>'Reported burning'!D3583</f>
        <v>0</v>
      </c>
      <c r="E3583" s="156">
        <f>'Reported burning'!E3583</f>
        <v>0</v>
      </c>
      <c r="F3583" s="156">
        <f>'Reported burning'!F3583</f>
        <v>0</v>
      </c>
      <c r="G3583" s="156">
        <f>'Reported burning'!G3583</f>
        <v>0</v>
      </c>
      <c r="H3583" s="156">
        <f>'Reported burning'!H3583</f>
        <v>0</v>
      </c>
      <c r="I3583" s="5"/>
    </row>
    <row r="3584" spans="1:9">
      <c r="A3584" s="156">
        <f>'Reported burning'!A3584</f>
        <v>0</v>
      </c>
      <c r="B3584" s="156">
        <f>'Reported burning'!B3584</f>
        <v>0</v>
      </c>
      <c r="C3584" s="156">
        <f>'Reported burning'!C3584</f>
        <v>0</v>
      </c>
      <c r="D3584" s="156">
        <f>'Reported burning'!D3584</f>
        <v>0</v>
      </c>
      <c r="E3584" s="156">
        <f>'Reported burning'!E3584</f>
        <v>0</v>
      </c>
      <c r="F3584" s="156">
        <f>'Reported burning'!F3584</f>
        <v>0</v>
      </c>
      <c r="G3584" s="156">
        <f>'Reported burning'!G3584</f>
        <v>0</v>
      </c>
      <c r="H3584" s="156">
        <f>'Reported burning'!H3584</f>
        <v>0</v>
      </c>
      <c r="I3584" s="5"/>
    </row>
    <row r="3585" spans="1:9">
      <c r="A3585" s="156">
        <f>'Reported burning'!A3585</f>
        <v>0</v>
      </c>
      <c r="B3585" s="156">
        <f>'Reported burning'!B3585</f>
        <v>0</v>
      </c>
      <c r="C3585" s="156">
        <f>'Reported burning'!C3585</f>
        <v>0</v>
      </c>
      <c r="D3585" s="156">
        <f>'Reported burning'!D3585</f>
        <v>0</v>
      </c>
      <c r="E3585" s="156">
        <f>'Reported burning'!E3585</f>
        <v>0</v>
      </c>
      <c r="F3585" s="156">
        <f>'Reported burning'!F3585</f>
        <v>0</v>
      </c>
      <c r="G3585" s="156">
        <f>'Reported burning'!G3585</f>
        <v>0</v>
      </c>
      <c r="H3585" s="156">
        <f>'Reported burning'!H3585</f>
        <v>0</v>
      </c>
      <c r="I3585" s="5"/>
    </row>
    <row r="3586" spans="1:9">
      <c r="A3586" s="156">
        <f>'Reported burning'!A3586</f>
        <v>0</v>
      </c>
      <c r="B3586" s="156">
        <f>'Reported burning'!B3586</f>
        <v>0</v>
      </c>
      <c r="C3586" s="156">
        <f>'Reported burning'!C3586</f>
        <v>0</v>
      </c>
      <c r="D3586" s="156">
        <f>'Reported burning'!D3586</f>
        <v>0</v>
      </c>
      <c r="E3586" s="156">
        <f>'Reported burning'!E3586</f>
        <v>0</v>
      </c>
      <c r="F3586" s="156">
        <f>'Reported burning'!F3586</f>
        <v>0</v>
      </c>
      <c r="G3586" s="156">
        <f>'Reported burning'!G3586</f>
        <v>0</v>
      </c>
      <c r="H3586" s="156">
        <f>'Reported burning'!H3586</f>
        <v>0</v>
      </c>
      <c r="I3586" s="5"/>
    </row>
    <row r="3587" spans="1:9">
      <c r="A3587" s="156">
        <f>'Reported burning'!A3587</f>
        <v>0</v>
      </c>
      <c r="B3587" s="156">
        <f>'Reported burning'!B3587</f>
        <v>0</v>
      </c>
      <c r="C3587" s="156">
        <f>'Reported burning'!C3587</f>
        <v>0</v>
      </c>
      <c r="D3587" s="156">
        <f>'Reported burning'!D3587</f>
        <v>0</v>
      </c>
      <c r="E3587" s="156">
        <f>'Reported burning'!E3587</f>
        <v>0</v>
      </c>
      <c r="F3587" s="156">
        <f>'Reported burning'!F3587</f>
        <v>0</v>
      </c>
      <c r="G3587" s="156">
        <f>'Reported burning'!G3587</f>
        <v>0</v>
      </c>
      <c r="H3587" s="156">
        <f>'Reported burning'!H3587</f>
        <v>0</v>
      </c>
      <c r="I3587" s="5"/>
    </row>
    <row r="3588" spans="1:9">
      <c r="A3588" s="156">
        <f>'Reported burning'!A3588</f>
        <v>0</v>
      </c>
      <c r="B3588" s="156">
        <f>'Reported burning'!B3588</f>
        <v>0</v>
      </c>
      <c r="C3588" s="156">
        <f>'Reported burning'!C3588</f>
        <v>0</v>
      </c>
      <c r="D3588" s="156">
        <f>'Reported burning'!D3588</f>
        <v>0</v>
      </c>
      <c r="E3588" s="156">
        <f>'Reported burning'!E3588</f>
        <v>0</v>
      </c>
      <c r="F3588" s="156">
        <f>'Reported burning'!F3588</f>
        <v>0</v>
      </c>
      <c r="G3588" s="156">
        <f>'Reported burning'!G3588</f>
        <v>0</v>
      </c>
      <c r="H3588" s="156">
        <f>'Reported burning'!H3588</f>
        <v>0</v>
      </c>
      <c r="I3588" s="5"/>
    </row>
    <row r="3589" spans="1:9">
      <c r="A3589" s="156">
        <f>'Reported burning'!A3589</f>
        <v>0</v>
      </c>
      <c r="B3589" s="156">
        <f>'Reported burning'!B3589</f>
        <v>0</v>
      </c>
      <c r="C3589" s="156">
        <f>'Reported burning'!C3589</f>
        <v>0</v>
      </c>
      <c r="D3589" s="156">
        <f>'Reported burning'!D3589</f>
        <v>0</v>
      </c>
      <c r="E3589" s="156">
        <f>'Reported burning'!E3589</f>
        <v>0</v>
      </c>
      <c r="F3589" s="156">
        <f>'Reported burning'!F3589</f>
        <v>0</v>
      </c>
      <c r="G3589" s="156">
        <f>'Reported burning'!G3589</f>
        <v>0</v>
      </c>
      <c r="H3589" s="156">
        <f>'Reported burning'!H3589</f>
        <v>0</v>
      </c>
      <c r="I3589" s="5"/>
    </row>
    <row r="3590" spans="1:9">
      <c r="A3590" s="156">
        <f>'Reported burning'!A3590</f>
        <v>0</v>
      </c>
      <c r="B3590" s="156">
        <f>'Reported burning'!B3590</f>
        <v>0</v>
      </c>
      <c r="C3590" s="156">
        <f>'Reported burning'!C3590</f>
        <v>0</v>
      </c>
      <c r="D3590" s="156">
        <f>'Reported burning'!D3590</f>
        <v>0</v>
      </c>
      <c r="E3590" s="156">
        <f>'Reported burning'!E3590</f>
        <v>0</v>
      </c>
      <c r="F3590" s="156">
        <f>'Reported burning'!F3590</f>
        <v>0</v>
      </c>
      <c r="G3590" s="156">
        <f>'Reported burning'!G3590</f>
        <v>0</v>
      </c>
      <c r="H3590" s="156">
        <f>'Reported burning'!H3590</f>
        <v>0</v>
      </c>
      <c r="I3590" s="5"/>
    </row>
    <row r="3591" spans="1:9">
      <c r="A3591" s="156">
        <f>'Reported burning'!A3591</f>
        <v>0</v>
      </c>
      <c r="B3591" s="156">
        <f>'Reported burning'!B3591</f>
        <v>0</v>
      </c>
      <c r="C3591" s="156">
        <f>'Reported burning'!C3591</f>
        <v>0</v>
      </c>
      <c r="D3591" s="156">
        <f>'Reported burning'!D3591</f>
        <v>0</v>
      </c>
      <c r="E3591" s="156">
        <f>'Reported burning'!E3591</f>
        <v>0</v>
      </c>
      <c r="F3591" s="156">
        <f>'Reported burning'!F3591</f>
        <v>0</v>
      </c>
      <c r="G3591" s="156">
        <f>'Reported burning'!G3591</f>
        <v>0</v>
      </c>
      <c r="H3591" s="156">
        <f>'Reported burning'!H3591</f>
        <v>0</v>
      </c>
      <c r="I3591" s="5"/>
    </row>
    <row r="3592" spans="1:9">
      <c r="A3592" s="156">
        <f>'Reported burning'!A3592</f>
        <v>0</v>
      </c>
      <c r="B3592" s="156">
        <f>'Reported burning'!B3592</f>
        <v>0</v>
      </c>
      <c r="C3592" s="156">
        <f>'Reported burning'!C3592</f>
        <v>0</v>
      </c>
      <c r="D3592" s="156">
        <f>'Reported burning'!D3592</f>
        <v>0</v>
      </c>
      <c r="E3592" s="156">
        <f>'Reported burning'!E3592</f>
        <v>0</v>
      </c>
      <c r="F3592" s="156">
        <f>'Reported burning'!F3592</f>
        <v>0</v>
      </c>
      <c r="G3592" s="156">
        <f>'Reported burning'!G3592</f>
        <v>0</v>
      </c>
      <c r="H3592" s="156">
        <f>'Reported burning'!H3592</f>
        <v>0</v>
      </c>
      <c r="I3592" s="5"/>
    </row>
    <row r="3593" spans="1:9">
      <c r="A3593" s="156">
        <f>'Reported burning'!A3593</f>
        <v>0</v>
      </c>
      <c r="B3593" s="156">
        <f>'Reported burning'!B3593</f>
        <v>0</v>
      </c>
      <c r="C3593" s="156">
        <f>'Reported burning'!C3593</f>
        <v>0</v>
      </c>
      <c r="D3593" s="156">
        <f>'Reported burning'!D3593</f>
        <v>0</v>
      </c>
      <c r="E3593" s="156">
        <f>'Reported burning'!E3593</f>
        <v>0</v>
      </c>
      <c r="F3593" s="156">
        <f>'Reported burning'!F3593</f>
        <v>0</v>
      </c>
      <c r="G3593" s="156">
        <f>'Reported burning'!G3593</f>
        <v>0</v>
      </c>
      <c r="H3593" s="156">
        <f>'Reported burning'!H3593</f>
        <v>0</v>
      </c>
      <c r="I3593" s="5"/>
    </row>
    <row r="3594" spans="1:9">
      <c r="A3594" s="156">
        <f>'Reported burning'!A3594</f>
        <v>0</v>
      </c>
      <c r="B3594" s="156">
        <f>'Reported burning'!B3594</f>
        <v>0</v>
      </c>
      <c r="C3594" s="156">
        <f>'Reported burning'!C3594</f>
        <v>0</v>
      </c>
      <c r="D3594" s="156">
        <f>'Reported burning'!D3594</f>
        <v>0</v>
      </c>
      <c r="E3594" s="156">
        <f>'Reported burning'!E3594</f>
        <v>0</v>
      </c>
      <c r="F3594" s="156">
        <f>'Reported burning'!F3594</f>
        <v>0</v>
      </c>
      <c r="G3594" s="156">
        <f>'Reported burning'!G3594</f>
        <v>0</v>
      </c>
      <c r="H3594" s="156">
        <f>'Reported burning'!H3594</f>
        <v>0</v>
      </c>
      <c r="I3594" s="5"/>
    </row>
    <row r="3595" spans="1:9">
      <c r="A3595" s="156">
        <f>'Reported burning'!A3595</f>
        <v>0</v>
      </c>
      <c r="B3595" s="156">
        <f>'Reported burning'!B3595</f>
        <v>0</v>
      </c>
      <c r="C3595" s="156">
        <f>'Reported burning'!C3595</f>
        <v>0</v>
      </c>
      <c r="D3595" s="156">
        <f>'Reported burning'!D3595</f>
        <v>0</v>
      </c>
      <c r="E3595" s="156">
        <f>'Reported burning'!E3595</f>
        <v>0</v>
      </c>
      <c r="F3595" s="156">
        <f>'Reported burning'!F3595</f>
        <v>0</v>
      </c>
      <c r="G3595" s="156">
        <f>'Reported burning'!G3595</f>
        <v>0</v>
      </c>
      <c r="H3595" s="156">
        <f>'Reported burning'!H3595</f>
        <v>0</v>
      </c>
      <c r="I3595" s="5"/>
    </row>
    <row r="3596" spans="1:9">
      <c r="A3596" s="156">
        <f>'Reported burning'!A3596</f>
        <v>0</v>
      </c>
      <c r="B3596" s="156">
        <f>'Reported burning'!B3596</f>
        <v>0</v>
      </c>
      <c r="C3596" s="156">
        <f>'Reported burning'!C3596</f>
        <v>0</v>
      </c>
      <c r="D3596" s="156">
        <f>'Reported burning'!D3596</f>
        <v>0</v>
      </c>
      <c r="E3596" s="156">
        <f>'Reported burning'!E3596</f>
        <v>0</v>
      </c>
      <c r="F3596" s="156">
        <f>'Reported burning'!F3596</f>
        <v>0</v>
      </c>
      <c r="G3596" s="156">
        <f>'Reported burning'!G3596</f>
        <v>0</v>
      </c>
      <c r="H3596" s="156">
        <f>'Reported burning'!H3596</f>
        <v>0</v>
      </c>
      <c r="I3596" s="5"/>
    </row>
    <row r="3597" spans="1:9">
      <c r="A3597" s="156">
        <f>'Reported burning'!A3597</f>
        <v>0</v>
      </c>
      <c r="B3597" s="156">
        <f>'Reported burning'!B3597</f>
        <v>0</v>
      </c>
      <c r="C3597" s="156">
        <f>'Reported burning'!C3597</f>
        <v>0</v>
      </c>
      <c r="D3597" s="156">
        <f>'Reported burning'!D3597</f>
        <v>0</v>
      </c>
      <c r="E3597" s="156">
        <f>'Reported burning'!E3597</f>
        <v>0</v>
      </c>
      <c r="F3597" s="156">
        <f>'Reported burning'!F3597</f>
        <v>0</v>
      </c>
      <c r="G3597" s="156">
        <f>'Reported burning'!G3597</f>
        <v>0</v>
      </c>
      <c r="H3597" s="156">
        <f>'Reported burning'!H3597</f>
        <v>0</v>
      </c>
      <c r="I3597" s="5"/>
    </row>
    <row r="3598" spans="1:9">
      <c r="A3598" s="156">
        <f>'Reported burning'!A3598</f>
        <v>0</v>
      </c>
      <c r="B3598" s="156">
        <f>'Reported burning'!B3598</f>
        <v>0</v>
      </c>
      <c r="C3598" s="156">
        <f>'Reported burning'!C3598</f>
        <v>0</v>
      </c>
      <c r="D3598" s="156">
        <f>'Reported burning'!D3598</f>
        <v>0</v>
      </c>
      <c r="E3598" s="156">
        <f>'Reported burning'!E3598</f>
        <v>0</v>
      </c>
      <c r="F3598" s="156">
        <f>'Reported burning'!F3598</f>
        <v>0</v>
      </c>
      <c r="G3598" s="156">
        <f>'Reported burning'!G3598</f>
        <v>0</v>
      </c>
      <c r="H3598" s="156">
        <f>'Reported burning'!H3598</f>
        <v>0</v>
      </c>
      <c r="I3598" s="5"/>
    </row>
    <row r="3599" spans="1:9">
      <c r="A3599" s="156">
        <f>'Reported burning'!A3599</f>
        <v>0</v>
      </c>
      <c r="B3599" s="156">
        <f>'Reported burning'!B3599</f>
        <v>0</v>
      </c>
      <c r="C3599" s="156">
        <f>'Reported burning'!C3599</f>
        <v>0</v>
      </c>
      <c r="D3599" s="156">
        <f>'Reported burning'!D3599</f>
        <v>0</v>
      </c>
      <c r="E3599" s="156">
        <f>'Reported burning'!E3599</f>
        <v>0</v>
      </c>
      <c r="F3599" s="156">
        <f>'Reported burning'!F3599</f>
        <v>0</v>
      </c>
      <c r="G3599" s="156">
        <f>'Reported burning'!G3599</f>
        <v>0</v>
      </c>
      <c r="H3599" s="156">
        <f>'Reported burning'!H3599</f>
        <v>0</v>
      </c>
      <c r="I3599" s="5"/>
    </row>
    <row r="3600" spans="1:9">
      <c r="A3600" s="156">
        <f>'Reported burning'!A3600</f>
        <v>0</v>
      </c>
      <c r="B3600" s="156">
        <f>'Reported burning'!B3600</f>
        <v>0</v>
      </c>
      <c r="C3600" s="156">
        <f>'Reported burning'!C3600</f>
        <v>0</v>
      </c>
      <c r="D3600" s="156">
        <f>'Reported burning'!D3600</f>
        <v>0</v>
      </c>
      <c r="E3600" s="156">
        <f>'Reported burning'!E3600</f>
        <v>0</v>
      </c>
      <c r="F3600" s="156">
        <f>'Reported burning'!F3600</f>
        <v>0</v>
      </c>
      <c r="G3600" s="156">
        <f>'Reported burning'!G3600</f>
        <v>0</v>
      </c>
      <c r="H3600" s="156">
        <f>'Reported burning'!H3600</f>
        <v>0</v>
      </c>
      <c r="I3600" s="5"/>
    </row>
    <row r="3601" spans="1:9">
      <c r="A3601" s="156">
        <f>'Reported burning'!A3601</f>
        <v>0</v>
      </c>
      <c r="B3601" s="156">
        <f>'Reported burning'!B3601</f>
        <v>0</v>
      </c>
      <c r="C3601" s="156">
        <f>'Reported burning'!C3601</f>
        <v>0</v>
      </c>
      <c r="D3601" s="156">
        <f>'Reported burning'!D3601</f>
        <v>0</v>
      </c>
      <c r="E3601" s="156">
        <f>'Reported burning'!E3601</f>
        <v>0</v>
      </c>
      <c r="F3601" s="156">
        <f>'Reported burning'!F3601</f>
        <v>0</v>
      </c>
      <c r="G3601" s="156">
        <f>'Reported burning'!G3601</f>
        <v>0</v>
      </c>
      <c r="H3601" s="156">
        <f>'Reported burning'!H3601</f>
        <v>0</v>
      </c>
      <c r="I3601" s="5"/>
    </row>
    <row r="3602" spans="1:9">
      <c r="A3602" s="156">
        <f>'Reported burning'!A3602</f>
        <v>0</v>
      </c>
      <c r="B3602" s="156">
        <f>'Reported burning'!B3602</f>
        <v>0</v>
      </c>
      <c r="C3602" s="156">
        <f>'Reported burning'!C3602</f>
        <v>0</v>
      </c>
      <c r="D3602" s="156">
        <f>'Reported burning'!D3602</f>
        <v>0</v>
      </c>
      <c r="E3602" s="156">
        <f>'Reported burning'!E3602</f>
        <v>0</v>
      </c>
      <c r="F3602" s="156">
        <f>'Reported burning'!F3602</f>
        <v>0</v>
      </c>
      <c r="G3602" s="156">
        <f>'Reported burning'!G3602</f>
        <v>0</v>
      </c>
      <c r="H3602" s="156">
        <f>'Reported burning'!H3602</f>
        <v>0</v>
      </c>
      <c r="I3602" s="5"/>
    </row>
    <row r="3603" spans="1:9">
      <c r="A3603" s="156">
        <f>'Reported burning'!A3603</f>
        <v>0</v>
      </c>
      <c r="B3603" s="156">
        <f>'Reported burning'!B3603</f>
        <v>0</v>
      </c>
      <c r="C3603" s="156">
        <f>'Reported burning'!C3603</f>
        <v>0</v>
      </c>
      <c r="D3603" s="156">
        <f>'Reported burning'!D3603</f>
        <v>0</v>
      </c>
      <c r="E3603" s="156">
        <f>'Reported burning'!E3603</f>
        <v>0</v>
      </c>
      <c r="F3603" s="156">
        <f>'Reported burning'!F3603</f>
        <v>0</v>
      </c>
      <c r="G3603" s="156">
        <f>'Reported burning'!G3603</f>
        <v>0</v>
      </c>
      <c r="H3603" s="156">
        <f>'Reported burning'!H3603</f>
        <v>0</v>
      </c>
      <c r="I3603" s="5"/>
    </row>
    <row r="3604" spans="1:9">
      <c r="A3604" s="156">
        <f>'Reported burning'!A3604</f>
        <v>0</v>
      </c>
      <c r="B3604" s="156">
        <f>'Reported burning'!B3604</f>
        <v>0</v>
      </c>
      <c r="C3604" s="156">
        <f>'Reported burning'!C3604</f>
        <v>0</v>
      </c>
      <c r="D3604" s="156">
        <f>'Reported burning'!D3604</f>
        <v>0</v>
      </c>
      <c r="E3604" s="156">
        <f>'Reported burning'!E3604</f>
        <v>0</v>
      </c>
      <c r="F3604" s="156">
        <f>'Reported burning'!F3604</f>
        <v>0</v>
      </c>
      <c r="G3604" s="156">
        <f>'Reported burning'!G3604</f>
        <v>0</v>
      </c>
      <c r="H3604" s="156">
        <f>'Reported burning'!H3604</f>
        <v>0</v>
      </c>
      <c r="I3604" s="5"/>
    </row>
    <row r="3605" spans="1:9">
      <c r="A3605" s="156">
        <f>'Reported burning'!A3605</f>
        <v>0</v>
      </c>
      <c r="B3605" s="156">
        <f>'Reported burning'!B3605</f>
        <v>0</v>
      </c>
      <c r="C3605" s="156">
        <f>'Reported burning'!C3605</f>
        <v>0</v>
      </c>
      <c r="D3605" s="156">
        <f>'Reported burning'!D3605</f>
        <v>0</v>
      </c>
      <c r="E3605" s="156">
        <f>'Reported burning'!E3605</f>
        <v>0</v>
      </c>
      <c r="F3605" s="156">
        <f>'Reported burning'!F3605</f>
        <v>0</v>
      </c>
      <c r="G3605" s="156">
        <f>'Reported burning'!G3605</f>
        <v>0</v>
      </c>
      <c r="H3605" s="156">
        <f>'Reported burning'!H3605</f>
        <v>0</v>
      </c>
      <c r="I3605" s="5"/>
    </row>
    <row r="3606" spans="1:9">
      <c r="A3606" s="156">
        <f>'Reported burning'!A3606</f>
        <v>0</v>
      </c>
      <c r="B3606" s="156">
        <f>'Reported burning'!B3606</f>
        <v>0</v>
      </c>
      <c r="C3606" s="156">
        <f>'Reported burning'!C3606</f>
        <v>0</v>
      </c>
      <c r="D3606" s="156">
        <f>'Reported burning'!D3606</f>
        <v>0</v>
      </c>
      <c r="E3606" s="156">
        <f>'Reported burning'!E3606</f>
        <v>0</v>
      </c>
      <c r="F3606" s="156">
        <f>'Reported burning'!F3606</f>
        <v>0</v>
      </c>
      <c r="G3606" s="156">
        <f>'Reported burning'!G3606</f>
        <v>0</v>
      </c>
      <c r="H3606" s="156">
        <f>'Reported burning'!H3606</f>
        <v>0</v>
      </c>
      <c r="I3606" s="5"/>
    </row>
    <row r="3607" spans="1:9">
      <c r="A3607" s="156">
        <f>'Reported burning'!A3607</f>
        <v>0</v>
      </c>
      <c r="B3607" s="156">
        <f>'Reported burning'!B3607</f>
        <v>0</v>
      </c>
      <c r="C3607" s="156">
        <f>'Reported burning'!C3607</f>
        <v>0</v>
      </c>
      <c r="D3607" s="156">
        <f>'Reported burning'!D3607</f>
        <v>0</v>
      </c>
      <c r="E3607" s="156">
        <f>'Reported burning'!E3607</f>
        <v>0</v>
      </c>
      <c r="F3607" s="156">
        <f>'Reported burning'!F3607</f>
        <v>0</v>
      </c>
      <c r="G3607" s="156">
        <f>'Reported burning'!G3607</f>
        <v>0</v>
      </c>
      <c r="H3607" s="156">
        <f>'Reported burning'!H3607</f>
        <v>0</v>
      </c>
      <c r="I3607" s="5"/>
    </row>
    <row r="3608" spans="1:9">
      <c r="A3608" s="156">
        <f>'Reported burning'!A3608</f>
        <v>0</v>
      </c>
      <c r="B3608" s="156">
        <f>'Reported burning'!B3608</f>
        <v>0</v>
      </c>
      <c r="C3608" s="156">
        <f>'Reported burning'!C3608</f>
        <v>0</v>
      </c>
      <c r="D3608" s="156">
        <f>'Reported burning'!D3608</f>
        <v>0</v>
      </c>
      <c r="E3608" s="156">
        <f>'Reported burning'!E3608</f>
        <v>0</v>
      </c>
      <c r="F3608" s="156">
        <f>'Reported burning'!F3608</f>
        <v>0</v>
      </c>
      <c r="G3608" s="156">
        <f>'Reported burning'!G3608</f>
        <v>0</v>
      </c>
      <c r="H3608" s="156">
        <f>'Reported burning'!H3608</f>
        <v>0</v>
      </c>
      <c r="I3608" s="5"/>
    </row>
    <row r="3609" spans="1:9">
      <c r="A3609" s="156">
        <f>'Reported burning'!A3609</f>
        <v>0</v>
      </c>
      <c r="B3609" s="156">
        <f>'Reported burning'!B3609</f>
        <v>0</v>
      </c>
      <c r="C3609" s="156">
        <f>'Reported burning'!C3609</f>
        <v>0</v>
      </c>
      <c r="D3609" s="156">
        <f>'Reported burning'!D3609</f>
        <v>0</v>
      </c>
      <c r="E3609" s="156">
        <f>'Reported burning'!E3609</f>
        <v>0</v>
      </c>
      <c r="F3609" s="156">
        <f>'Reported burning'!F3609</f>
        <v>0</v>
      </c>
      <c r="G3609" s="156">
        <f>'Reported burning'!G3609</f>
        <v>0</v>
      </c>
      <c r="H3609" s="156">
        <f>'Reported burning'!H3609</f>
        <v>0</v>
      </c>
      <c r="I3609" s="5"/>
    </row>
    <row r="3610" spans="1:9">
      <c r="A3610" s="156">
        <f>'Reported burning'!A3610</f>
        <v>0</v>
      </c>
      <c r="B3610" s="156">
        <f>'Reported burning'!B3610</f>
        <v>0</v>
      </c>
      <c r="C3610" s="156">
        <f>'Reported burning'!C3610</f>
        <v>0</v>
      </c>
      <c r="D3610" s="156">
        <f>'Reported burning'!D3610</f>
        <v>0</v>
      </c>
      <c r="E3610" s="156">
        <f>'Reported burning'!E3610</f>
        <v>0</v>
      </c>
      <c r="F3610" s="156">
        <f>'Reported burning'!F3610</f>
        <v>0</v>
      </c>
      <c r="G3610" s="156">
        <f>'Reported burning'!G3610</f>
        <v>0</v>
      </c>
      <c r="H3610" s="156">
        <f>'Reported burning'!H3610</f>
        <v>0</v>
      </c>
      <c r="I3610" s="5"/>
    </row>
    <row r="3611" spans="1:9">
      <c r="A3611" s="156">
        <f>'Reported burning'!A3611</f>
        <v>0</v>
      </c>
      <c r="B3611" s="156">
        <f>'Reported burning'!B3611</f>
        <v>0</v>
      </c>
      <c r="C3611" s="156">
        <f>'Reported burning'!C3611</f>
        <v>0</v>
      </c>
      <c r="D3611" s="156">
        <f>'Reported burning'!D3611</f>
        <v>0</v>
      </c>
      <c r="E3611" s="156">
        <f>'Reported burning'!E3611</f>
        <v>0</v>
      </c>
      <c r="F3611" s="156">
        <f>'Reported burning'!F3611</f>
        <v>0</v>
      </c>
      <c r="G3611" s="156">
        <f>'Reported burning'!G3611</f>
        <v>0</v>
      </c>
      <c r="H3611" s="156">
        <f>'Reported burning'!H3611</f>
        <v>0</v>
      </c>
      <c r="I3611" s="5"/>
    </row>
    <row r="3612" spans="1:9">
      <c r="A3612" s="156">
        <f>'Reported burning'!A3612</f>
        <v>0</v>
      </c>
      <c r="B3612" s="156">
        <f>'Reported burning'!B3612</f>
        <v>0</v>
      </c>
      <c r="C3612" s="156">
        <f>'Reported burning'!C3612</f>
        <v>0</v>
      </c>
      <c r="D3612" s="156">
        <f>'Reported burning'!D3612</f>
        <v>0</v>
      </c>
      <c r="E3612" s="156">
        <f>'Reported burning'!E3612</f>
        <v>0</v>
      </c>
      <c r="F3612" s="156">
        <f>'Reported burning'!F3612</f>
        <v>0</v>
      </c>
      <c r="G3612" s="156">
        <f>'Reported burning'!G3612</f>
        <v>0</v>
      </c>
      <c r="H3612" s="156">
        <f>'Reported burning'!H3612</f>
        <v>0</v>
      </c>
      <c r="I3612" s="5"/>
    </row>
    <row r="3613" spans="1:9">
      <c r="A3613" s="156">
        <f>'Reported burning'!A3613</f>
        <v>0</v>
      </c>
      <c r="B3613" s="156">
        <f>'Reported burning'!B3613</f>
        <v>0</v>
      </c>
      <c r="C3613" s="156">
        <f>'Reported burning'!C3613</f>
        <v>0</v>
      </c>
      <c r="D3613" s="156">
        <f>'Reported burning'!D3613</f>
        <v>0</v>
      </c>
      <c r="E3613" s="156">
        <f>'Reported burning'!E3613</f>
        <v>0</v>
      </c>
      <c r="F3613" s="156">
        <f>'Reported burning'!F3613</f>
        <v>0</v>
      </c>
      <c r="G3613" s="156">
        <f>'Reported burning'!G3613</f>
        <v>0</v>
      </c>
      <c r="H3613" s="156">
        <f>'Reported burning'!H3613</f>
        <v>0</v>
      </c>
      <c r="I3613" s="5"/>
    </row>
    <row r="3614" spans="1:9">
      <c r="A3614" s="156">
        <f>'Reported burning'!A3614</f>
        <v>0</v>
      </c>
      <c r="B3614" s="156">
        <f>'Reported burning'!B3614</f>
        <v>0</v>
      </c>
      <c r="C3614" s="156">
        <f>'Reported burning'!C3614</f>
        <v>0</v>
      </c>
      <c r="D3614" s="156">
        <f>'Reported burning'!D3614</f>
        <v>0</v>
      </c>
      <c r="E3614" s="156">
        <f>'Reported burning'!E3614</f>
        <v>0</v>
      </c>
      <c r="F3614" s="156">
        <f>'Reported burning'!F3614</f>
        <v>0</v>
      </c>
      <c r="G3614" s="156">
        <f>'Reported burning'!G3614</f>
        <v>0</v>
      </c>
      <c r="H3614" s="156">
        <f>'Reported burning'!H3614</f>
        <v>0</v>
      </c>
      <c r="I3614" s="5"/>
    </row>
    <row r="3615" spans="1:9">
      <c r="A3615" s="156">
        <f>'Reported burning'!A3615</f>
        <v>0</v>
      </c>
      <c r="B3615" s="156">
        <f>'Reported burning'!B3615</f>
        <v>0</v>
      </c>
      <c r="C3615" s="156">
        <f>'Reported burning'!C3615</f>
        <v>0</v>
      </c>
      <c r="D3615" s="156">
        <f>'Reported burning'!D3615</f>
        <v>0</v>
      </c>
      <c r="E3615" s="156">
        <f>'Reported burning'!E3615</f>
        <v>0</v>
      </c>
      <c r="F3615" s="156">
        <f>'Reported burning'!F3615</f>
        <v>0</v>
      </c>
      <c r="G3615" s="156">
        <f>'Reported burning'!G3615</f>
        <v>0</v>
      </c>
      <c r="H3615" s="156">
        <f>'Reported burning'!H3615</f>
        <v>0</v>
      </c>
      <c r="I3615" s="5"/>
    </row>
    <row r="3616" spans="1:9">
      <c r="A3616" s="156">
        <f>'Reported burning'!A3616</f>
        <v>0</v>
      </c>
      <c r="B3616" s="156">
        <f>'Reported burning'!B3616</f>
        <v>0</v>
      </c>
      <c r="C3616" s="156">
        <f>'Reported burning'!C3616</f>
        <v>0</v>
      </c>
      <c r="D3616" s="156">
        <f>'Reported burning'!D3616</f>
        <v>0</v>
      </c>
      <c r="E3616" s="156">
        <f>'Reported burning'!E3616</f>
        <v>0</v>
      </c>
      <c r="F3616" s="156">
        <f>'Reported burning'!F3616</f>
        <v>0</v>
      </c>
      <c r="G3616" s="156">
        <f>'Reported burning'!G3616</f>
        <v>0</v>
      </c>
      <c r="H3616" s="156">
        <f>'Reported burning'!H3616</f>
        <v>0</v>
      </c>
      <c r="I3616" s="5"/>
    </row>
    <row r="3617" spans="1:9">
      <c r="A3617" s="156">
        <f>'Reported burning'!A3617</f>
        <v>0</v>
      </c>
      <c r="B3617" s="156">
        <f>'Reported burning'!B3617</f>
        <v>0</v>
      </c>
      <c r="C3617" s="156">
        <f>'Reported burning'!C3617</f>
        <v>0</v>
      </c>
      <c r="D3617" s="156">
        <f>'Reported burning'!D3617</f>
        <v>0</v>
      </c>
      <c r="E3617" s="156">
        <f>'Reported burning'!E3617</f>
        <v>0</v>
      </c>
      <c r="F3617" s="156">
        <f>'Reported burning'!F3617</f>
        <v>0</v>
      </c>
      <c r="G3617" s="156">
        <f>'Reported burning'!G3617</f>
        <v>0</v>
      </c>
      <c r="H3617" s="156">
        <f>'Reported burning'!H3617</f>
        <v>0</v>
      </c>
      <c r="I3617" s="5"/>
    </row>
    <row r="3618" spans="1:9">
      <c r="A3618" s="156">
        <f>'Reported burning'!A3618</f>
        <v>0</v>
      </c>
      <c r="B3618" s="156">
        <f>'Reported burning'!B3618</f>
        <v>0</v>
      </c>
      <c r="C3618" s="156">
        <f>'Reported burning'!C3618</f>
        <v>0</v>
      </c>
      <c r="D3618" s="156">
        <f>'Reported burning'!D3618</f>
        <v>0</v>
      </c>
      <c r="E3618" s="156">
        <f>'Reported burning'!E3618</f>
        <v>0</v>
      </c>
      <c r="F3618" s="156">
        <f>'Reported burning'!F3618</f>
        <v>0</v>
      </c>
      <c r="G3618" s="156">
        <f>'Reported burning'!G3618</f>
        <v>0</v>
      </c>
      <c r="H3618" s="156">
        <f>'Reported burning'!H3618</f>
        <v>0</v>
      </c>
      <c r="I3618" s="5"/>
    </row>
    <row r="3619" spans="1:9">
      <c r="A3619" s="156">
        <f>'Reported burning'!A3619</f>
        <v>0</v>
      </c>
      <c r="B3619" s="156">
        <f>'Reported burning'!B3619</f>
        <v>0</v>
      </c>
      <c r="C3619" s="156">
        <f>'Reported burning'!C3619</f>
        <v>0</v>
      </c>
      <c r="D3619" s="156">
        <f>'Reported burning'!D3619</f>
        <v>0</v>
      </c>
      <c r="E3619" s="156">
        <f>'Reported burning'!E3619</f>
        <v>0</v>
      </c>
      <c r="F3619" s="156">
        <f>'Reported burning'!F3619</f>
        <v>0</v>
      </c>
      <c r="G3619" s="156">
        <f>'Reported burning'!G3619</f>
        <v>0</v>
      </c>
      <c r="H3619" s="156">
        <f>'Reported burning'!H3619</f>
        <v>0</v>
      </c>
      <c r="I3619" s="5"/>
    </row>
    <row r="3620" spans="1:9">
      <c r="A3620" s="156">
        <f>'Reported burning'!A3620</f>
        <v>0</v>
      </c>
      <c r="B3620" s="156">
        <f>'Reported burning'!B3620</f>
        <v>0</v>
      </c>
      <c r="C3620" s="156">
        <f>'Reported burning'!C3620</f>
        <v>0</v>
      </c>
      <c r="D3620" s="156">
        <f>'Reported burning'!D3620</f>
        <v>0</v>
      </c>
      <c r="E3620" s="156">
        <f>'Reported burning'!E3620</f>
        <v>0</v>
      </c>
      <c r="F3620" s="156">
        <f>'Reported burning'!F3620</f>
        <v>0</v>
      </c>
      <c r="G3620" s="156">
        <f>'Reported burning'!G3620</f>
        <v>0</v>
      </c>
      <c r="H3620" s="156">
        <f>'Reported burning'!H3620</f>
        <v>0</v>
      </c>
      <c r="I3620" s="5"/>
    </row>
    <row r="3621" spans="1:9">
      <c r="A3621" s="156">
        <f>'Reported burning'!A3621</f>
        <v>0</v>
      </c>
      <c r="B3621" s="156">
        <f>'Reported burning'!B3621</f>
        <v>0</v>
      </c>
      <c r="C3621" s="156">
        <f>'Reported burning'!C3621</f>
        <v>0</v>
      </c>
      <c r="D3621" s="156">
        <f>'Reported burning'!D3621</f>
        <v>0</v>
      </c>
      <c r="E3621" s="156">
        <f>'Reported burning'!E3621</f>
        <v>0</v>
      </c>
      <c r="F3621" s="156">
        <f>'Reported burning'!F3621</f>
        <v>0</v>
      </c>
      <c r="G3621" s="156">
        <f>'Reported burning'!G3621</f>
        <v>0</v>
      </c>
      <c r="H3621" s="156">
        <f>'Reported burning'!H3621</f>
        <v>0</v>
      </c>
      <c r="I3621" s="5"/>
    </row>
    <row r="3622" spans="1:9">
      <c r="A3622" s="156">
        <f>'Reported burning'!A3622</f>
        <v>0</v>
      </c>
      <c r="B3622" s="156">
        <f>'Reported burning'!B3622</f>
        <v>0</v>
      </c>
      <c r="C3622" s="156">
        <f>'Reported burning'!C3622</f>
        <v>0</v>
      </c>
      <c r="D3622" s="156">
        <f>'Reported burning'!D3622</f>
        <v>0</v>
      </c>
      <c r="E3622" s="156">
        <f>'Reported burning'!E3622</f>
        <v>0</v>
      </c>
      <c r="F3622" s="156">
        <f>'Reported burning'!F3622</f>
        <v>0</v>
      </c>
      <c r="G3622" s="156">
        <f>'Reported burning'!G3622</f>
        <v>0</v>
      </c>
      <c r="H3622" s="156">
        <f>'Reported burning'!H3622</f>
        <v>0</v>
      </c>
      <c r="I3622" s="5"/>
    </row>
    <row r="3623" spans="1:9">
      <c r="A3623" s="156">
        <f>'Reported burning'!A3623</f>
        <v>0</v>
      </c>
      <c r="B3623" s="156">
        <f>'Reported burning'!B3623</f>
        <v>0</v>
      </c>
      <c r="C3623" s="156">
        <f>'Reported burning'!C3623</f>
        <v>0</v>
      </c>
      <c r="D3623" s="156">
        <f>'Reported burning'!D3623</f>
        <v>0</v>
      </c>
      <c r="E3623" s="156">
        <f>'Reported burning'!E3623</f>
        <v>0</v>
      </c>
      <c r="F3623" s="156">
        <f>'Reported burning'!F3623</f>
        <v>0</v>
      </c>
      <c r="G3623" s="156">
        <f>'Reported burning'!G3623</f>
        <v>0</v>
      </c>
      <c r="H3623" s="156">
        <f>'Reported burning'!H3623</f>
        <v>0</v>
      </c>
      <c r="I3623" s="5"/>
    </row>
    <row r="3624" spans="1:9">
      <c r="A3624" s="156">
        <f>'Reported burning'!A3624</f>
        <v>0</v>
      </c>
      <c r="B3624" s="156">
        <f>'Reported burning'!B3624</f>
        <v>0</v>
      </c>
      <c r="C3624" s="156">
        <f>'Reported burning'!C3624</f>
        <v>0</v>
      </c>
      <c r="D3624" s="156">
        <f>'Reported burning'!D3624</f>
        <v>0</v>
      </c>
      <c r="E3624" s="156">
        <f>'Reported burning'!E3624</f>
        <v>0</v>
      </c>
      <c r="F3624" s="156">
        <f>'Reported burning'!F3624</f>
        <v>0</v>
      </c>
      <c r="G3624" s="156">
        <f>'Reported burning'!G3624</f>
        <v>0</v>
      </c>
      <c r="H3624" s="156">
        <f>'Reported burning'!H3624</f>
        <v>0</v>
      </c>
      <c r="I3624" s="5"/>
    </row>
    <row r="3625" spans="1:9">
      <c r="A3625" s="156">
        <f>'Reported burning'!A3625</f>
        <v>0</v>
      </c>
      <c r="B3625" s="156">
        <f>'Reported burning'!B3625</f>
        <v>0</v>
      </c>
      <c r="C3625" s="156">
        <f>'Reported burning'!C3625</f>
        <v>0</v>
      </c>
      <c r="D3625" s="156">
        <f>'Reported burning'!D3625</f>
        <v>0</v>
      </c>
      <c r="E3625" s="156">
        <f>'Reported burning'!E3625</f>
        <v>0</v>
      </c>
      <c r="F3625" s="156">
        <f>'Reported burning'!F3625</f>
        <v>0</v>
      </c>
      <c r="G3625" s="156">
        <f>'Reported burning'!G3625</f>
        <v>0</v>
      </c>
      <c r="H3625" s="156">
        <f>'Reported burning'!H3625</f>
        <v>0</v>
      </c>
      <c r="I3625" s="5"/>
    </row>
    <row r="3626" spans="1:9">
      <c r="A3626" s="156">
        <f>'Reported burning'!A3626</f>
        <v>0</v>
      </c>
      <c r="B3626" s="156">
        <f>'Reported burning'!B3626</f>
        <v>0</v>
      </c>
      <c r="C3626" s="156">
        <f>'Reported burning'!C3626</f>
        <v>0</v>
      </c>
      <c r="D3626" s="156">
        <f>'Reported burning'!D3626</f>
        <v>0</v>
      </c>
      <c r="E3626" s="156">
        <f>'Reported burning'!E3626</f>
        <v>0</v>
      </c>
      <c r="F3626" s="156">
        <f>'Reported burning'!F3626</f>
        <v>0</v>
      </c>
      <c r="G3626" s="156">
        <f>'Reported burning'!G3626</f>
        <v>0</v>
      </c>
      <c r="H3626" s="156">
        <f>'Reported burning'!H3626</f>
        <v>0</v>
      </c>
      <c r="I3626" s="5"/>
    </row>
    <row r="3627" spans="1:9">
      <c r="A3627" s="156">
        <f>'Reported burning'!A3627</f>
        <v>0</v>
      </c>
      <c r="B3627" s="156">
        <f>'Reported burning'!B3627</f>
        <v>0</v>
      </c>
      <c r="C3627" s="156">
        <f>'Reported burning'!C3627</f>
        <v>0</v>
      </c>
      <c r="D3627" s="156">
        <f>'Reported burning'!D3627</f>
        <v>0</v>
      </c>
      <c r="E3627" s="156">
        <f>'Reported burning'!E3627</f>
        <v>0</v>
      </c>
      <c r="F3627" s="156">
        <f>'Reported burning'!F3627</f>
        <v>0</v>
      </c>
      <c r="G3627" s="156">
        <f>'Reported burning'!G3627</f>
        <v>0</v>
      </c>
      <c r="H3627" s="156">
        <f>'Reported burning'!H3627</f>
        <v>0</v>
      </c>
      <c r="I3627" s="5"/>
    </row>
    <row r="3628" spans="1:9">
      <c r="A3628" s="156">
        <f>'Reported burning'!A3628</f>
        <v>0</v>
      </c>
      <c r="B3628" s="156">
        <f>'Reported burning'!B3628</f>
        <v>0</v>
      </c>
      <c r="C3628" s="156">
        <f>'Reported burning'!C3628</f>
        <v>0</v>
      </c>
      <c r="D3628" s="156">
        <f>'Reported burning'!D3628</f>
        <v>0</v>
      </c>
      <c r="E3628" s="156">
        <f>'Reported burning'!E3628</f>
        <v>0</v>
      </c>
      <c r="F3628" s="156">
        <f>'Reported burning'!F3628</f>
        <v>0</v>
      </c>
      <c r="G3628" s="156">
        <f>'Reported burning'!G3628</f>
        <v>0</v>
      </c>
      <c r="H3628" s="156">
        <f>'Reported burning'!H3628</f>
        <v>0</v>
      </c>
      <c r="I3628" s="5"/>
    </row>
    <row r="3629" spans="1:9">
      <c r="A3629" s="156">
        <f>'Reported burning'!A3629</f>
        <v>0</v>
      </c>
      <c r="B3629" s="156">
        <f>'Reported burning'!B3629</f>
        <v>0</v>
      </c>
      <c r="C3629" s="156">
        <f>'Reported burning'!C3629</f>
        <v>0</v>
      </c>
      <c r="D3629" s="156">
        <f>'Reported burning'!D3629</f>
        <v>0</v>
      </c>
      <c r="E3629" s="156">
        <f>'Reported burning'!E3629</f>
        <v>0</v>
      </c>
      <c r="F3629" s="156">
        <f>'Reported burning'!F3629</f>
        <v>0</v>
      </c>
      <c r="G3629" s="156">
        <f>'Reported burning'!G3629</f>
        <v>0</v>
      </c>
      <c r="H3629" s="156">
        <f>'Reported burning'!H3629</f>
        <v>0</v>
      </c>
      <c r="I3629" s="5"/>
    </row>
    <row r="3630" spans="1:9">
      <c r="A3630" s="156">
        <f>'Reported burning'!A3630</f>
        <v>0</v>
      </c>
      <c r="B3630" s="156">
        <f>'Reported burning'!B3630</f>
        <v>0</v>
      </c>
      <c r="C3630" s="156">
        <f>'Reported burning'!C3630</f>
        <v>0</v>
      </c>
      <c r="D3630" s="156">
        <f>'Reported burning'!D3630</f>
        <v>0</v>
      </c>
      <c r="E3630" s="156">
        <f>'Reported burning'!E3630</f>
        <v>0</v>
      </c>
      <c r="F3630" s="156">
        <f>'Reported burning'!F3630</f>
        <v>0</v>
      </c>
      <c r="G3630" s="156">
        <f>'Reported burning'!G3630</f>
        <v>0</v>
      </c>
      <c r="H3630" s="156">
        <f>'Reported burning'!H3630</f>
        <v>0</v>
      </c>
      <c r="I3630" s="5"/>
    </row>
    <row r="3631" spans="1:9">
      <c r="A3631" s="156">
        <f>'Reported burning'!A3631</f>
        <v>0</v>
      </c>
      <c r="B3631" s="156">
        <f>'Reported burning'!B3631</f>
        <v>0</v>
      </c>
      <c r="C3631" s="156">
        <f>'Reported burning'!C3631</f>
        <v>0</v>
      </c>
      <c r="D3631" s="156">
        <f>'Reported burning'!D3631</f>
        <v>0</v>
      </c>
      <c r="E3631" s="156">
        <f>'Reported burning'!E3631</f>
        <v>0</v>
      </c>
      <c r="F3631" s="156">
        <f>'Reported burning'!F3631</f>
        <v>0</v>
      </c>
      <c r="G3631" s="156">
        <f>'Reported burning'!G3631</f>
        <v>0</v>
      </c>
      <c r="H3631" s="156">
        <f>'Reported burning'!H3631</f>
        <v>0</v>
      </c>
      <c r="I3631" s="5"/>
    </row>
    <row r="3632" spans="1:9">
      <c r="A3632" s="156">
        <f>'Reported burning'!A3632</f>
        <v>0</v>
      </c>
      <c r="B3632" s="156">
        <f>'Reported burning'!B3632</f>
        <v>0</v>
      </c>
      <c r="C3632" s="156">
        <f>'Reported burning'!C3632</f>
        <v>0</v>
      </c>
      <c r="D3632" s="156">
        <f>'Reported burning'!D3632</f>
        <v>0</v>
      </c>
      <c r="E3632" s="156">
        <f>'Reported burning'!E3632</f>
        <v>0</v>
      </c>
      <c r="F3632" s="156">
        <f>'Reported burning'!F3632</f>
        <v>0</v>
      </c>
      <c r="G3632" s="156">
        <f>'Reported burning'!G3632</f>
        <v>0</v>
      </c>
      <c r="H3632" s="156">
        <f>'Reported burning'!H3632</f>
        <v>0</v>
      </c>
      <c r="I3632" s="5"/>
    </row>
    <row r="3633" spans="1:9">
      <c r="A3633" s="156">
        <f>'Reported burning'!A3633</f>
        <v>0</v>
      </c>
      <c r="B3633" s="156">
        <f>'Reported burning'!B3633</f>
        <v>0</v>
      </c>
      <c r="C3633" s="156">
        <f>'Reported burning'!C3633</f>
        <v>0</v>
      </c>
      <c r="D3633" s="156">
        <f>'Reported burning'!D3633</f>
        <v>0</v>
      </c>
      <c r="E3633" s="156">
        <f>'Reported burning'!E3633</f>
        <v>0</v>
      </c>
      <c r="F3633" s="156">
        <f>'Reported burning'!F3633</f>
        <v>0</v>
      </c>
      <c r="G3633" s="156">
        <f>'Reported burning'!G3633</f>
        <v>0</v>
      </c>
      <c r="H3633" s="156">
        <f>'Reported burning'!H3633</f>
        <v>0</v>
      </c>
      <c r="I3633" s="5"/>
    </row>
    <row r="3634" spans="1:9">
      <c r="A3634" s="156">
        <f>'Reported burning'!A3634</f>
        <v>0</v>
      </c>
      <c r="B3634" s="156">
        <f>'Reported burning'!B3634</f>
        <v>0</v>
      </c>
      <c r="C3634" s="156">
        <f>'Reported burning'!C3634</f>
        <v>0</v>
      </c>
      <c r="D3634" s="156">
        <f>'Reported burning'!D3634</f>
        <v>0</v>
      </c>
      <c r="E3634" s="156">
        <f>'Reported burning'!E3634</f>
        <v>0</v>
      </c>
      <c r="F3634" s="156">
        <f>'Reported burning'!F3634</f>
        <v>0</v>
      </c>
      <c r="G3634" s="156">
        <f>'Reported burning'!G3634</f>
        <v>0</v>
      </c>
      <c r="H3634" s="156">
        <f>'Reported burning'!H3634</f>
        <v>0</v>
      </c>
      <c r="I3634" s="5"/>
    </row>
    <row r="3635" spans="1:9">
      <c r="A3635" s="156">
        <f>'Reported burning'!A3635</f>
        <v>0</v>
      </c>
      <c r="B3635" s="156">
        <f>'Reported burning'!B3635</f>
        <v>0</v>
      </c>
      <c r="C3635" s="156">
        <f>'Reported burning'!C3635</f>
        <v>0</v>
      </c>
      <c r="D3635" s="156">
        <f>'Reported burning'!D3635</f>
        <v>0</v>
      </c>
      <c r="E3635" s="156">
        <f>'Reported burning'!E3635</f>
        <v>0</v>
      </c>
      <c r="F3635" s="156">
        <f>'Reported burning'!F3635</f>
        <v>0</v>
      </c>
      <c r="G3635" s="156">
        <f>'Reported burning'!G3635</f>
        <v>0</v>
      </c>
      <c r="H3635" s="156">
        <f>'Reported burning'!H3635</f>
        <v>0</v>
      </c>
      <c r="I3635" s="5"/>
    </row>
    <row r="3636" spans="1:9">
      <c r="A3636" s="156">
        <f>'Reported burning'!A3636</f>
        <v>0</v>
      </c>
      <c r="B3636" s="156">
        <f>'Reported burning'!B3636</f>
        <v>0</v>
      </c>
      <c r="C3636" s="156">
        <f>'Reported burning'!C3636</f>
        <v>0</v>
      </c>
      <c r="D3636" s="156">
        <f>'Reported burning'!D3636</f>
        <v>0</v>
      </c>
      <c r="E3636" s="156">
        <f>'Reported burning'!E3636</f>
        <v>0</v>
      </c>
      <c r="F3636" s="156">
        <f>'Reported burning'!F3636</f>
        <v>0</v>
      </c>
      <c r="G3636" s="156">
        <f>'Reported burning'!G3636</f>
        <v>0</v>
      </c>
      <c r="H3636" s="156">
        <f>'Reported burning'!H3636</f>
        <v>0</v>
      </c>
      <c r="I3636" s="5"/>
    </row>
    <row r="3637" spans="1:9">
      <c r="A3637" s="156">
        <f>'Reported burning'!A3637</f>
        <v>0</v>
      </c>
      <c r="B3637" s="156">
        <f>'Reported burning'!B3637</f>
        <v>0</v>
      </c>
      <c r="C3637" s="156">
        <f>'Reported burning'!C3637</f>
        <v>0</v>
      </c>
      <c r="D3637" s="156">
        <f>'Reported burning'!D3637</f>
        <v>0</v>
      </c>
      <c r="E3637" s="156">
        <f>'Reported burning'!E3637</f>
        <v>0</v>
      </c>
      <c r="F3637" s="156">
        <f>'Reported burning'!F3637</f>
        <v>0</v>
      </c>
      <c r="G3637" s="156">
        <f>'Reported burning'!G3637</f>
        <v>0</v>
      </c>
      <c r="H3637" s="156">
        <f>'Reported burning'!H3637</f>
        <v>0</v>
      </c>
      <c r="I3637" s="5"/>
    </row>
    <row r="3638" spans="1:9">
      <c r="A3638" s="156">
        <f>'Reported burning'!A3638</f>
        <v>0</v>
      </c>
      <c r="B3638" s="156">
        <f>'Reported burning'!B3638</f>
        <v>0</v>
      </c>
      <c r="C3638" s="156">
        <f>'Reported burning'!C3638</f>
        <v>0</v>
      </c>
      <c r="D3638" s="156">
        <f>'Reported burning'!D3638</f>
        <v>0</v>
      </c>
      <c r="E3638" s="156">
        <f>'Reported burning'!E3638</f>
        <v>0</v>
      </c>
      <c r="F3638" s="156">
        <f>'Reported burning'!F3638</f>
        <v>0</v>
      </c>
      <c r="G3638" s="156">
        <f>'Reported burning'!G3638</f>
        <v>0</v>
      </c>
      <c r="H3638" s="156">
        <f>'Reported burning'!H3638</f>
        <v>0</v>
      </c>
      <c r="I3638" s="5"/>
    </row>
    <row r="3639" spans="1:9">
      <c r="A3639" s="156">
        <f>'Reported burning'!A3639</f>
        <v>0</v>
      </c>
      <c r="B3639" s="156">
        <f>'Reported burning'!B3639</f>
        <v>0</v>
      </c>
      <c r="C3639" s="156">
        <f>'Reported burning'!C3639</f>
        <v>0</v>
      </c>
      <c r="D3639" s="156">
        <f>'Reported burning'!D3639</f>
        <v>0</v>
      </c>
      <c r="E3639" s="156">
        <f>'Reported burning'!E3639</f>
        <v>0</v>
      </c>
      <c r="F3639" s="156">
        <f>'Reported burning'!F3639</f>
        <v>0</v>
      </c>
      <c r="G3639" s="156">
        <f>'Reported burning'!G3639</f>
        <v>0</v>
      </c>
      <c r="H3639" s="156">
        <f>'Reported burning'!H3639</f>
        <v>0</v>
      </c>
      <c r="I3639" s="5"/>
    </row>
    <row r="3640" spans="1:9">
      <c r="A3640" s="156">
        <f>'Reported burning'!A3640</f>
        <v>0</v>
      </c>
      <c r="B3640" s="156">
        <f>'Reported burning'!B3640</f>
        <v>0</v>
      </c>
      <c r="C3640" s="156">
        <f>'Reported burning'!C3640</f>
        <v>0</v>
      </c>
      <c r="D3640" s="156">
        <f>'Reported burning'!D3640</f>
        <v>0</v>
      </c>
      <c r="E3640" s="156">
        <f>'Reported burning'!E3640</f>
        <v>0</v>
      </c>
      <c r="F3640" s="156">
        <f>'Reported burning'!F3640</f>
        <v>0</v>
      </c>
      <c r="G3640" s="156">
        <f>'Reported burning'!G3640</f>
        <v>0</v>
      </c>
      <c r="H3640" s="156">
        <f>'Reported burning'!H3640</f>
        <v>0</v>
      </c>
      <c r="I3640" s="5"/>
    </row>
    <row r="3641" spans="1:9">
      <c r="A3641" s="156">
        <f>'Reported burning'!A3641</f>
        <v>0</v>
      </c>
      <c r="B3641" s="156">
        <f>'Reported burning'!B3641</f>
        <v>0</v>
      </c>
      <c r="C3641" s="156">
        <f>'Reported burning'!C3641</f>
        <v>0</v>
      </c>
      <c r="D3641" s="156">
        <f>'Reported burning'!D3641</f>
        <v>0</v>
      </c>
      <c r="E3641" s="156">
        <f>'Reported burning'!E3641</f>
        <v>0</v>
      </c>
      <c r="F3641" s="156">
        <f>'Reported burning'!F3641</f>
        <v>0</v>
      </c>
      <c r="G3641" s="156">
        <f>'Reported burning'!G3641</f>
        <v>0</v>
      </c>
      <c r="H3641" s="156">
        <f>'Reported burning'!H3641</f>
        <v>0</v>
      </c>
      <c r="I3641" s="5"/>
    </row>
    <row r="3642" spans="1:9">
      <c r="A3642" s="156">
        <f>'Reported burning'!A3642</f>
        <v>0</v>
      </c>
      <c r="B3642" s="156">
        <f>'Reported burning'!B3642</f>
        <v>0</v>
      </c>
      <c r="C3642" s="156">
        <f>'Reported burning'!C3642</f>
        <v>0</v>
      </c>
      <c r="D3642" s="156">
        <f>'Reported burning'!D3642</f>
        <v>0</v>
      </c>
      <c r="E3642" s="156">
        <f>'Reported burning'!E3642</f>
        <v>0</v>
      </c>
      <c r="F3642" s="156">
        <f>'Reported burning'!F3642</f>
        <v>0</v>
      </c>
      <c r="G3642" s="156">
        <f>'Reported burning'!G3642</f>
        <v>0</v>
      </c>
      <c r="H3642" s="156">
        <f>'Reported burning'!H3642</f>
        <v>0</v>
      </c>
      <c r="I3642" s="5"/>
    </row>
    <row r="3643" spans="1:9">
      <c r="A3643" s="156">
        <f>'Reported burning'!A3643</f>
        <v>0</v>
      </c>
      <c r="B3643" s="156">
        <f>'Reported burning'!B3643</f>
        <v>0</v>
      </c>
      <c r="C3643" s="156">
        <f>'Reported burning'!C3643</f>
        <v>0</v>
      </c>
      <c r="D3643" s="156">
        <f>'Reported burning'!D3643</f>
        <v>0</v>
      </c>
      <c r="E3643" s="156">
        <f>'Reported burning'!E3643</f>
        <v>0</v>
      </c>
      <c r="F3643" s="156">
        <f>'Reported burning'!F3643</f>
        <v>0</v>
      </c>
      <c r="G3643" s="156">
        <f>'Reported burning'!G3643</f>
        <v>0</v>
      </c>
      <c r="H3643" s="156">
        <f>'Reported burning'!H3643</f>
        <v>0</v>
      </c>
      <c r="I3643" s="5"/>
    </row>
    <row r="3644" spans="1:9">
      <c r="A3644" s="156">
        <f>'Reported burning'!A3644</f>
        <v>0</v>
      </c>
      <c r="B3644" s="156">
        <f>'Reported burning'!B3644</f>
        <v>0</v>
      </c>
      <c r="C3644" s="156">
        <f>'Reported burning'!C3644</f>
        <v>0</v>
      </c>
      <c r="D3644" s="156">
        <f>'Reported burning'!D3644</f>
        <v>0</v>
      </c>
      <c r="E3644" s="156">
        <f>'Reported burning'!E3644</f>
        <v>0</v>
      </c>
      <c r="F3644" s="156">
        <f>'Reported burning'!F3644</f>
        <v>0</v>
      </c>
      <c r="G3644" s="156">
        <f>'Reported burning'!G3644</f>
        <v>0</v>
      </c>
      <c r="H3644" s="156">
        <f>'Reported burning'!H3644</f>
        <v>0</v>
      </c>
      <c r="I3644" s="5"/>
    </row>
    <row r="3645" spans="1:9">
      <c r="A3645" s="156">
        <f>'Reported burning'!A3645</f>
        <v>0</v>
      </c>
      <c r="B3645" s="156">
        <f>'Reported burning'!B3645</f>
        <v>0</v>
      </c>
      <c r="C3645" s="156">
        <f>'Reported burning'!C3645</f>
        <v>0</v>
      </c>
      <c r="D3645" s="156">
        <f>'Reported burning'!D3645</f>
        <v>0</v>
      </c>
      <c r="E3645" s="156">
        <f>'Reported burning'!E3645</f>
        <v>0</v>
      </c>
      <c r="F3645" s="156">
        <f>'Reported burning'!F3645</f>
        <v>0</v>
      </c>
      <c r="G3645" s="156">
        <f>'Reported burning'!G3645</f>
        <v>0</v>
      </c>
      <c r="H3645" s="156">
        <f>'Reported burning'!H3645</f>
        <v>0</v>
      </c>
      <c r="I3645" s="5"/>
    </row>
    <row r="3646" spans="1:9">
      <c r="A3646" s="156">
        <f>'Reported burning'!A3646</f>
        <v>0</v>
      </c>
      <c r="B3646" s="156">
        <f>'Reported burning'!B3646</f>
        <v>0</v>
      </c>
      <c r="C3646" s="156">
        <f>'Reported burning'!C3646</f>
        <v>0</v>
      </c>
      <c r="D3646" s="156">
        <f>'Reported burning'!D3646</f>
        <v>0</v>
      </c>
      <c r="E3646" s="156">
        <f>'Reported burning'!E3646</f>
        <v>0</v>
      </c>
      <c r="F3646" s="156">
        <f>'Reported burning'!F3646</f>
        <v>0</v>
      </c>
      <c r="G3646" s="156">
        <f>'Reported burning'!G3646</f>
        <v>0</v>
      </c>
      <c r="H3646" s="156">
        <f>'Reported burning'!H3646</f>
        <v>0</v>
      </c>
      <c r="I3646" s="5"/>
    </row>
    <row r="3647" spans="1:9">
      <c r="A3647" s="156">
        <f>'Reported burning'!A3647</f>
        <v>0</v>
      </c>
      <c r="B3647" s="156">
        <f>'Reported burning'!B3647</f>
        <v>0</v>
      </c>
      <c r="C3647" s="156">
        <f>'Reported burning'!C3647</f>
        <v>0</v>
      </c>
      <c r="D3647" s="156">
        <f>'Reported burning'!D3647</f>
        <v>0</v>
      </c>
      <c r="E3647" s="156">
        <f>'Reported burning'!E3647</f>
        <v>0</v>
      </c>
      <c r="F3647" s="156">
        <f>'Reported burning'!F3647</f>
        <v>0</v>
      </c>
      <c r="G3647" s="156">
        <f>'Reported burning'!G3647</f>
        <v>0</v>
      </c>
      <c r="H3647" s="156">
        <f>'Reported burning'!H3647</f>
        <v>0</v>
      </c>
      <c r="I3647" s="5"/>
    </row>
    <row r="3648" spans="1:9">
      <c r="A3648" s="156">
        <f>'Reported burning'!A3648</f>
        <v>0</v>
      </c>
      <c r="B3648" s="156">
        <f>'Reported burning'!B3648</f>
        <v>0</v>
      </c>
      <c r="C3648" s="156">
        <f>'Reported burning'!C3648</f>
        <v>0</v>
      </c>
      <c r="D3648" s="156">
        <f>'Reported burning'!D3648</f>
        <v>0</v>
      </c>
      <c r="E3648" s="156">
        <f>'Reported burning'!E3648</f>
        <v>0</v>
      </c>
      <c r="F3648" s="156">
        <f>'Reported burning'!F3648</f>
        <v>0</v>
      </c>
      <c r="G3648" s="156">
        <f>'Reported burning'!G3648</f>
        <v>0</v>
      </c>
      <c r="H3648" s="156">
        <f>'Reported burning'!H3648</f>
        <v>0</v>
      </c>
      <c r="I3648" s="5"/>
    </row>
    <row r="3649" spans="1:9">
      <c r="A3649" s="156">
        <f>'Reported burning'!A3649</f>
        <v>0</v>
      </c>
      <c r="B3649" s="156">
        <f>'Reported burning'!B3649</f>
        <v>0</v>
      </c>
      <c r="C3649" s="156">
        <f>'Reported burning'!C3649</f>
        <v>0</v>
      </c>
      <c r="D3649" s="156">
        <f>'Reported burning'!D3649</f>
        <v>0</v>
      </c>
      <c r="E3649" s="156">
        <f>'Reported burning'!E3649</f>
        <v>0</v>
      </c>
      <c r="F3649" s="156">
        <f>'Reported burning'!F3649</f>
        <v>0</v>
      </c>
      <c r="G3649" s="156">
        <f>'Reported burning'!G3649</f>
        <v>0</v>
      </c>
      <c r="H3649" s="156">
        <f>'Reported burning'!H3649</f>
        <v>0</v>
      </c>
      <c r="I3649" s="5"/>
    </row>
    <row r="3650" spans="1:9">
      <c r="A3650" s="156">
        <f>'Reported burning'!A3650</f>
        <v>0</v>
      </c>
      <c r="B3650" s="156">
        <f>'Reported burning'!B3650</f>
        <v>0</v>
      </c>
      <c r="C3650" s="156">
        <f>'Reported burning'!C3650</f>
        <v>0</v>
      </c>
      <c r="D3650" s="156">
        <f>'Reported burning'!D3650</f>
        <v>0</v>
      </c>
      <c r="E3650" s="156">
        <f>'Reported burning'!E3650</f>
        <v>0</v>
      </c>
      <c r="F3650" s="156">
        <f>'Reported burning'!F3650</f>
        <v>0</v>
      </c>
      <c r="G3650" s="156">
        <f>'Reported burning'!G3650</f>
        <v>0</v>
      </c>
      <c r="H3650" s="156">
        <f>'Reported burning'!H3650</f>
        <v>0</v>
      </c>
      <c r="I3650" s="5"/>
    </row>
    <row r="3651" spans="1:9">
      <c r="A3651" s="156">
        <f>'Reported burning'!A3651</f>
        <v>0</v>
      </c>
      <c r="B3651" s="156">
        <f>'Reported burning'!B3651</f>
        <v>0</v>
      </c>
      <c r="C3651" s="156">
        <f>'Reported burning'!C3651</f>
        <v>0</v>
      </c>
      <c r="D3651" s="156">
        <f>'Reported burning'!D3651</f>
        <v>0</v>
      </c>
      <c r="E3651" s="156">
        <f>'Reported burning'!E3651</f>
        <v>0</v>
      </c>
      <c r="F3651" s="156">
        <f>'Reported burning'!F3651</f>
        <v>0</v>
      </c>
      <c r="G3651" s="156">
        <f>'Reported burning'!G3651</f>
        <v>0</v>
      </c>
      <c r="H3651" s="156">
        <f>'Reported burning'!H3651</f>
        <v>0</v>
      </c>
      <c r="I3651" s="5"/>
    </row>
    <row r="3652" spans="1:9">
      <c r="A3652" s="156">
        <f>'Reported burning'!A3652</f>
        <v>0</v>
      </c>
      <c r="B3652" s="156">
        <f>'Reported burning'!B3652</f>
        <v>0</v>
      </c>
      <c r="C3652" s="156">
        <f>'Reported burning'!C3652</f>
        <v>0</v>
      </c>
      <c r="D3652" s="156">
        <f>'Reported burning'!D3652</f>
        <v>0</v>
      </c>
      <c r="E3652" s="156">
        <f>'Reported burning'!E3652</f>
        <v>0</v>
      </c>
      <c r="F3652" s="156">
        <f>'Reported burning'!F3652</f>
        <v>0</v>
      </c>
      <c r="G3652" s="156">
        <f>'Reported burning'!G3652</f>
        <v>0</v>
      </c>
      <c r="H3652" s="156">
        <f>'Reported burning'!H3652</f>
        <v>0</v>
      </c>
      <c r="I3652" s="5"/>
    </row>
    <row r="3653" spans="1:9">
      <c r="A3653" s="156">
        <f>'Reported burning'!A3653</f>
        <v>0</v>
      </c>
      <c r="B3653" s="156">
        <f>'Reported burning'!B3653</f>
        <v>0</v>
      </c>
      <c r="C3653" s="156">
        <f>'Reported burning'!C3653</f>
        <v>0</v>
      </c>
      <c r="D3653" s="156">
        <f>'Reported burning'!D3653</f>
        <v>0</v>
      </c>
      <c r="E3653" s="156">
        <f>'Reported burning'!E3653</f>
        <v>0</v>
      </c>
      <c r="F3653" s="156">
        <f>'Reported burning'!F3653</f>
        <v>0</v>
      </c>
      <c r="G3653" s="156">
        <f>'Reported burning'!G3653</f>
        <v>0</v>
      </c>
      <c r="H3653" s="156">
        <f>'Reported burning'!H3653</f>
        <v>0</v>
      </c>
      <c r="I3653" s="5"/>
    </row>
    <row r="3654" spans="1:9">
      <c r="A3654" s="156">
        <f>'Reported burning'!A3654</f>
        <v>0</v>
      </c>
      <c r="B3654" s="156">
        <f>'Reported burning'!B3654</f>
        <v>0</v>
      </c>
      <c r="C3654" s="156">
        <f>'Reported burning'!C3654</f>
        <v>0</v>
      </c>
      <c r="D3654" s="156">
        <f>'Reported burning'!D3654</f>
        <v>0</v>
      </c>
      <c r="E3654" s="156">
        <f>'Reported burning'!E3654</f>
        <v>0</v>
      </c>
      <c r="F3654" s="156">
        <f>'Reported burning'!F3654</f>
        <v>0</v>
      </c>
      <c r="G3654" s="156">
        <f>'Reported burning'!G3654</f>
        <v>0</v>
      </c>
      <c r="H3654" s="156">
        <f>'Reported burning'!H3654</f>
        <v>0</v>
      </c>
      <c r="I3654" s="5"/>
    </row>
    <row r="3655" spans="1:9">
      <c r="A3655" s="156">
        <f>'Reported burning'!A3655</f>
        <v>0</v>
      </c>
      <c r="B3655" s="156">
        <f>'Reported burning'!B3655</f>
        <v>0</v>
      </c>
      <c r="C3655" s="156">
        <f>'Reported burning'!C3655</f>
        <v>0</v>
      </c>
      <c r="D3655" s="156">
        <f>'Reported burning'!D3655</f>
        <v>0</v>
      </c>
      <c r="E3655" s="156">
        <f>'Reported burning'!E3655</f>
        <v>0</v>
      </c>
      <c r="F3655" s="156">
        <f>'Reported burning'!F3655</f>
        <v>0</v>
      </c>
      <c r="G3655" s="156">
        <f>'Reported burning'!G3655</f>
        <v>0</v>
      </c>
      <c r="H3655" s="156">
        <f>'Reported burning'!H3655</f>
        <v>0</v>
      </c>
      <c r="I3655" s="5"/>
    </row>
    <row r="3656" spans="1:9">
      <c r="A3656" s="156">
        <f>'Reported burning'!A3656</f>
        <v>0</v>
      </c>
      <c r="B3656" s="156">
        <f>'Reported burning'!B3656</f>
        <v>0</v>
      </c>
      <c r="C3656" s="156">
        <f>'Reported burning'!C3656</f>
        <v>0</v>
      </c>
      <c r="D3656" s="156">
        <f>'Reported burning'!D3656</f>
        <v>0</v>
      </c>
      <c r="E3656" s="156">
        <f>'Reported burning'!E3656</f>
        <v>0</v>
      </c>
      <c r="F3656" s="156">
        <f>'Reported burning'!F3656</f>
        <v>0</v>
      </c>
      <c r="G3656" s="156">
        <f>'Reported burning'!G3656</f>
        <v>0</v>
      </c>
      <c r="H3656" s="156">
        <f>'Reported burning'!H3656</f>
        <v>0</v>
      </c>
      <c r="I3656" s="5"/>
    </row>
    <row r="3657" spans="1:9">
      <c r="A3657" s="156">
        <f>'Reported burning'!A3657</f>
        <v>0</v>
      </c>
      <c r="B3657" s="156">
        <f>'Reported burning'!B3657</f>
        <v>0</v>
      </c>
      <c r="C3657" s="156">
        <f>'Reported burning'!C3657</f>
        <v>0</v>
      </c>
      <c r="D3657" s="156">
        <f>'Reported burning'!D3657</f>
        <v>0</v>
      </c>
      <c r="E3657" s="156">
        <f>'Reported burning'!E3657</f>
        <v>0</v>
      </c>
      <c r="F3657" s="156">
        <f>'Reported burning'!F3657</f>
        <v>0</v>
      </c>
      <c r="G3657" s="156">
        <f>'Reported burning'!G3657</f>
        <v>0</v>
      </c>
      <c r="H3657" s="156">
        <f>'Reported burning'!H3657</f>
        <v>0</v>
      </c>
      <c r="I3657" s="5"/>
    </row>
    <row r="3658" spans="1:9">
      <c r="A3658" s="156">
        <f>'Reported burning'!A3658</f>
        <v>0</v>
      </c>
      <c r="B3658" s="156">
        <f>'Reported burning'!B3658</f>
        <v>0</v>
      </c>
      <c r="C3658" s="156">
        <f>'Reported burning'!C3658</f>
        <v>0</v>
      </c>
      <c r="D3658" s="156">
        <f>'Reported burning'!D3658</f>
        <v>0</v>
      </c>
      <c r="E3658" s="156">
        <f>'Reported burning'!E3658</f>
        <v>0</v>
      </c>
      <c r="F3658" s="156">
        <f>'Reported burning'!F3658</f>
        <v>0</v>
      </c>
      <c r="G3658" s="156">
        <f>'Reported burning'!G3658</f>
        <v>0</v>
      </c>
      <c r="H3658" s="156">
        <f>'Reported burning'!H3658</f>
        <v>0</v>
      </c>
      <c r="I3658" s="5"/>
    </row>
    <row r="3659" spans="1:9">
      <c r="A3659" s="156">
        <f>'Reported burning'!A3659</f>
        <v>0</v>
      </c>
      <c r="B3659" s="156">
        <f>'Reported burning'!B3659</f>
        <v>0</v>
      </c>
      <c r="C3659" s="156">
        <f>'Reported burning'!C3659</f>
        <v>0</v>
      </c>
      <c r="D3659" s="156">
        <f>'Reported burning'!D3659</f>
        <v>0</v>
      </c>
      <c r="E3659" s="156">
        <f>'Reported burning'!E3659</f>
        <v>0</v>
      </c>
      <c r="F3659" s="156">
        <f>'Reported burning'!F3659</f>
        <v>0</v>
      </c>
      <c r="G3659" s="156">
        <f>'Reported burning'!G3659</f>
        <v>0</v>
      </c>
      <c r="H3659" s="156">
        <f>'Reported burning'!H3659</f>
        <v>0</v>
      </c>
      <c r="I3659" s="5"/>
    </row>
    <row r="3660" spans="1:9">
      <c r="A3660" s="156">
        <f>'Reported burning'!A3660</f>
        <v>0</v>
      </c>
      <c r="B3660" s="156">
        <f>'Reported burning'!B3660</f>
        <v>0</v>
      </c>
      <c r="C3660" s="156">
        <f>'Reported burning'!C3660</f>
        <v>0</v>
      </c>
      <c r="D3660" s="156">
        <f>'Reported burning'!D3660</f>
        <v>0</v>
      </c>
      <c r="E3660" s="156">
        <f>'Reported burning'!E3660</f>
        <v>0</v>
      </c>
      <c r="F3660" s="156">
        <f>'Reported burning'!F3660</f>
        <v>0</v>
      </c>
      <c r="G3660" s="156">
        <f>'Reported burning'!G3660</f>
        <v>0</v>
      </c>
      <c r="H3660" s="156">
        <f>'Reported burning'!H3660</f>
        <v>0</v>
      </c>
      <c r="I3660" s="5"/>
    </row>
    <row r="3661" spans="1:9">
      <c r="A3661" s="156">
        <f>'Reported burning'!A3661</f>
        <v>0</v>
      </c>
      <c r="B3661" s="156">
        <f>'Reported burning'!B3661</f>
        <v>0</v>
      </c>
      <c r="C3661" s="156">
        <f>'Reported burning'!C3661</f>
        <v>0</v>
      </c>
      <c r="D3661" s="156">
        <f>'Reported burning'!D3661</f>
        <v>0</v>
      </c>
      <c r="E3661" s="156">
        <f>'Reported burning'!E3661</f>
        <v>0</v>
      </c>
      <c r="F3661" s="156">
        <f>'Reported burning'!F3661</f>
        <v>0</v>
      </c>
      <c r="G3661" s="156">
        <f>'Reported burning'!G3661</f>
        <v>0</v>
      </c>
      <c r="H3661" s="156">
        <f>'Reported burning'!H3661</f>
        <v>0</v>
      </c>
      <c r="I3661" s="5"/>
    </row>
    <row r="3662" spans="1:9">
      <c r="A3662" s="156">
        <f>'Reported burning'!A3662</f>
        <v>0</v>
      </c>
      <c r="B3662" s="156">
        <f>'Reported burning'!B3662</f>
        <v>0</v>
      </c>
      <c r="C3662" s="156">
        <f>'Reported burning'!C3662</f>
        <v>0</v>
      </c>
      <c r="D3662" s="156">
        <f>'Reported burning'!D3662</f>
        <v>0</v>
      </c>
      <c r="E3662" s="156">
        <f>'Reported burning'!E3662</f>
        <v>0</v>
      </c>
      <c r="F3662" s="156">
        <f>'Reported burning'!F3662</f>
        <v>0</v>
      </c>
      <c r="G3662" s="156">
        <f>'Reported burning'!G3662</f>
        <v>0</v>
      </c>
      <c r="H3662" s="156">
        <f>'Reported burning'!H3662</f>
        <v>0</v>
      </c>
      <c r="I3662" s="5"/>
    </row>
    <row r="3663" spans="1:9">
      <c r="A3663" s="156">
        <f>'Reported burning'!A3663</f>
        <v>0</v>
      </c>
      <c r="B3663" s="156">
        <f>'Reported burning'!B3663</f>
        <v>0</v>
      </c>
      <c r="C3663" s="156">
        <f>'Reported burning'!C3663</f>
        <v>0</v>
      </c>
      <c r="D3663" s="156">
        <f>'Reported burning'!D3663</f>
        <v>0</v>
      </c>
      <c r="E3663" s="156">
        <f>'Reported burning'!E3663</f>
        <v>0</v>
      </c>
      <c r="F3663" s="156">
        <f>'Reported burning'!F3663</f>
        <v>0</v>
      </c>
      <c r="G3663" s="156">
        <f>'Reported burning'!G3663</f>
        <v>0</v>
      </c>
      <c r="H3663" s="156">
        <f>'Reported burning'!H3663</f>
        <v>0</v>
      </c>
      <c r="I3663" s="5"/>
    </row>
    <row r="3664" spans="1:9">
      <c r="A3664" s="156">
        <f>'Reported burning'!A3664</f>
        <v>0</v>
      </c>
      <c r="B3664" s="156">
        <f>'Reported burning'!B3664</f>
        <v>0</v>
      </c>
      <c r="C3664" s="156">
        <f>'Reported burning'!C3664</f>
        <v>0</v>
      </c>
      <c r="D3664" s="156">
        <f>'Reported burning'!D3664</f>
        <v>0</v>
      </c>
      <c r="E3664" s="156">
        <f>'Reported burning'!E3664</f>
        <v>0</v>
      </c>
      <c r="F3664" s="156">
        <f>'Reported burning'!F3664</f>
        <v>0</v>
      </c>
      <c r="G3664" s="156">
        <f>'Reported burning'!G3664</f>
        <v>0</v>
      </c>
      <c r="H3664" s="156">
        <f>'Reported burning'!H3664</f>
        <v>0</v>
      </c>
      <c r="I3664" s="5"/>
    </row>
    <row r="3665" spans="1:9">
      <c r="A3665" s="156">
        <f>'Reported burning'!A3665</f>
        <v>0</v>
      </c>
      <c r="B3665" s="156">
        <f>'Reported burning'!B3665</f>
        <v>0</v>
      </c>
      <c r="C3665" s="156">
        <f>'Reported burning'!C3665</f>
        <v>0</v>
      </c>
      <c r="D3665" s="156">
        <f>'Reported burning'!D3665</f>
        <v>0</v>
      </c>
      <c r="E3665" s="156">
        <f>'Reported burning'!E3665</f>
        <v>0</v>
      </c>
      <c r="F3665" s="156">
        <f>'Reported burning'!F3665</f>
        <v>0</v>
      </c>
      <c r="G3665" s="156">
        <f>'Reported burning'!G3665</f>
        <v>0</v>
      </c>
      <c r="H3665" s="156">
        <f>'Reported burning'!H3665</f>
        <v>0</v>
      </c>
      <c r="I3665" s="5"/>
    </row>
    <row r="3666" spans="1:9">
      <c r="A3666" s="156">
        <f>'Reported burning'!A3666</f>
        <v>0</v>
      </c>
      <c r="B3666" s="156">
        <f>'Reported burning'!B3666</f>
        <v>0</v>
      </c>
      <c r="C3666" s="156">
        <f>'Reported burning'!C3666</f>
        <v>0</v>
      </c>
      <c r="D3666" s="156">
        <f>'Reported burning'!D3666</f>
        <v>0</v>
      </c>
      <c r="E3666" s="156">
        <f>'Reported burning'!E3666</f>
        <v>0</v>
      </c>
      <c r="F3666" s="156">
        <f>'Reported burning'!F3666</f>
        <v>0</v>
      </c>
      <c r="G3666" s="156">
        <f>'Reported burning'!G3666</f>
        <v>0</v>
      </c>
      <c r="H3666" s="156">
        <f>'Reported burning'!H3666</f>
        <v>0</v>
      </c>
      <c r="I3666" s="5"/>
    </row>
    <row r="3667" spans="1:9">
      <c r="A3667" s="156">
        <f>'Reported burning'!A3667</f>
        <v>0</v>
      </c>
      <c r="B3667" s="156">
        <f>'Reported burning'!B3667</f>
        <v>0</v>
      </c>
      <c r="C3667" s="156">
        <f>'Reported burning'!C3667</f>
        <v>0</v>
      </c>
      <c r="D3667" s="156">
        <f>'Reported burning'!D3667</f>
        <v>0</v>
      </c>
      <c r="E3667" s="156">
        <f>'Reported burning'!E3667</f>
        <v>0</v>
      </c>
      <c r="F3667" s="156">
        <f>'Reported burning'!F3667</f>
        <v>0</v>
      </c>
      <c r="G3667" s="156">
        <f>'Reported burning'!G3667</f>
        <v>0</v>
      </c>
      <c r="H3667" s="156">
        <f>'Reported burning'!H3667</f>
        <v>0</v>
      </c>
      <c r="I3667" s="5"/>
    </row>
    <row r="3668" spans="1:9">
      <c r="A3668" s="156">
        <f>'Reported burning'!A3668</f>
        <v>0</v>
      </c>
      <c r="B3668" s="156">
        <f>'Reported burning'!B3668</f>
        <v>0</v>
      </c>
      <c r="C3668" s="156">
        <f>'Reported burning'!C3668</f>
        <v>0</v>
      </c>
      <c r="D3668" s="156">
        <f>'Reported burning'!D3668</f>
        <v>0</v>
      </c>
      <c r="E3668" s="156">
        <f>'Reported burning'!E3668</f>
        <v>0</v>
      </c>
      <c r="F3668" s="156">
        <f>'Reported burning'!F3668</f>
        <v>0</v>
      </c>
      <c r="G3668" s="156">
        <f>'Reported burning'!G3668</f>
        <v>0</v>
      </c>
      <c r="H3668" s="156">
        <f>'Reported burning'!H3668</f>
        <v>0</v>
      </c>
      <c r="I3668" s="5"/>
    </row>
    <row r="3669" spans="1:9">
      <c r="A3669" s="156">
        <f>'Reported burning'!A3669</f>
        <v>0</v>
      </c>
      <c r="B3669" s="156">
        <f>'Reported burning'!B3669</f>
        <v>0</v>
      </c>
      <c r="C3669" s="156">
        <f>'Reported burning'!C3669</f>
        <v>0</v>
      </c>
      <c r="D3669" s="156">
        <f>'Reported burning'!D3669</f>
        <v>0</v>
      </c>
      <c r="E3669" s="156">
        <f>'Reported burning'!E3669</f>
        <v>0</v>
      </c>
      <c r="F3669" s="156">
        <f>'Reported burning'!F3669</f>
        <v>0</v>
      </c>
      <c r="G3669" s="156">
        <f>'Reported burning'!G3669</f>
        <v>0</v>
      </c>
      <c r="H3669" s="156">
        <f>'Reported burning'!H3669</f>
        <v>0</v>
      </c>
      <c r="I3669" s="5"/>
    </row>
    <row r="3670" spans="1:9">
      <c r="A3670" s="156">
        <f>'Reported burning'!A3670</f>
        <v>0</v>
      </c>
      <c r="B3670" s="156">
        <f>'Reported burning'!B3670</f>
        <v>0</v>
      </c>
      <c r="C3670" s="156">
        <f>'Reported burning'!C3670</f>
        <v>0</v>
      </c>
      <c r="D3670" s="156">
        <f>'Reported burning'!D3670</f>
        <v>0</v>
      </c>
      <c r="E3670" s="156">
        <f>'Reported burning'!E3670</f>
        <v>0</v>
      </c>
      <c r="F3670" s="156">
        <f>'Reported burning'!F3670</f>
        <v>0</v>
      </c>
      <c r="G3670" s="156">
        <f>'Reported burning'!G3670</f>
        <v>0</v>
      </c>
      <c r="H3670" s="156">
        <f>'Reported burning'!H3670</f>
        <v>0</v>
      </c>
      <c r="I3670" s="5"/>
    </row>
    <row r="3671" spans="1:9">
      <c r="A3671" s="156">
        <f>'Reported burning'!A3671</f>
        <v>0</v>
      </c>
      <c r="B3671" s="156">
        <f>'Reported burning'!B3671</f>
        <v>0</v>
      </c>
      <c r="C3671" s="156">
        <f>'Reported burning'!C3671</f>
        <v>0</v>
      </c>
      <c r="D3671" s="156">
        <f>'Reported burning'!D3671</f>
        <v>0</v>
      </c>
      <c r="E3671" s="156">
        <f>'Reported burning'!E3671</f>
        <v>0</v>
      </c>
      <c r="F3671" s="156">
        <f>'Reported burning'!F3671</f>
        <v>0</v>
      </c>
      <c r="G3671" s="156">
        <f>'Reported burning'!G3671</f>
        <v>0</v>
      </c>
      <c r="H3671" s="156">
        <f>'Reported burning'!H3671</f>
        <v>0</v>
      </c>
      <c r="I3671" s="5"/>
    </row>
    <row r="3672" spans="1:9">
      <c r="A3672" s="156">
        <f>'Reported burning'!A3672</f>
        <v>0</v>
      </c>
      <c r="B3672" s="156">
        <f>'Reported burning'!B3672</f>
        <v>0</v>
      </c>
      <c r="C3672" s="156">
        <f>'Reported burning'!C3672</f>
        <v>0</v>
      </c>
      <c r="D3672" s="156">
        <f>'Reported burning'!D3672</f>
        <v>0</v>
      </c>
      <c r="E3672" s="156">
        <f>'Reported burning'!E3672</f>
        <v>0</v>
      </c>
      <c r="F3672" s="156">
        <f>'Reported burning'!F3672</f>
        <v>0</v>
      </c>
      <c r="G3672" s="156">
        <f>'Reported burning'!G3672</f>
        <v>0</v>
      </c>
      <c r="H3672" s="156">
        <f>'Reported burning'!H3672</f>
        <v>0</v>
      </c>
      <c r="I3672" s="5"/>
    </row>
    <row r="3673" spans="1:9">
      <c r="A3673" s="156">
        <f>'Reported burning'!A3673</f>
        <v>0</v>
      </c>
      <c r="B3673" s="156">
        <f>'Reported burning'!B3673</f>
        <v>0</v>
      </c>
      <c r="C3673" s="156">
        <f>'Reported burning'!C3673</f>
        <v>0</v>
      </c>
      <c r="D3673" s="156">
        <f>'Reported burning'!D3673</f>
        <v>0</v>
      </c>
      <c r="E3673" s="156">
        <f>'Reported burning'!E3673</f>
        <v>0</v>
      </c>
      <c r="F3673" s="156">
        <f>'Reported burning'!F3673</f>
        <v>0</v>
      </c>
      <c r="G3673" s="156">
        <f>'Reported burning'!G3673</f>
        <v>0</v>
      </c>
      <c r="H3673" s="156">
        <f>'Reported burning'!H3673</f>
        <v>0</v>
      </c>
      <c r="I3673" s="5"/>
    </row>
    <row r="3674" spans="1:9">
      <c r="A3674" s="156">
        <f>'Reported burning'!A3674</f>
        <v>0</v>
      </c>
      <c r="B3674" s="156">
        <f>'Reported burning'!B3674</f>
        <v>0</v>
      </c>
      <c r="C3674" s="156">
        <f>'Reported burning'!C3674</f>
        <v>0</v>
      </c>
      <c r="D3674" s="156">
        <f>'Reported burning'!D3674</f>
        <v>0</v>
      </c>
      <c r="E3674" s="156">
        <f>'Reported burning'!E3674</f>
        <v>0</v>
      </c>
      <c r="F3674" s="156">
        <f>'Reported burning'!F3674</f>
        <v>0</v>
      </c>
      <c r="G3674" s="156">
        <f>'Reported burning'!G3674</f>
        <v>0</v>
      </c>
      <c r="H3674" s="156">
        <f>'Reported burning'!H3674</f>
        <v>0</v>
      </c>
      <c r="I3674" s="5"/>
    </row>
    <row r="3675" spans="1:9">
      <c r="A3675" s="156">
        <f>'Reported burning'!A3675</f>
        <v>0</v>
      </c>
      <c r="B3675" s="156">
        <f>'Reported burning'!B3675</f>
        <v>0</v>
      </c>
      <c r="C3675" s="156">
        <f>'Reported burning'!C3675</f>
        <v>0</v>
      </c>
      <c r="D3675" s="156">
        <f>'Reported burning'!D3675</f>
        <v>0</v>
      </c>
      <c r="E3675" s="156">
        <f>'Reported burning'!E3675</f>
        <v>0</v>
      </c>
      <c r="F3675" s="156">
        <f>'Reported burning'!F3675</f>
        <v>0</v>
      </c>
      <c r="G3675" s="156">
        <f>'Reported burning'!G3675</f>
        <v>0</v>
      </c>
      <c r="H3675" s="156">
        <f>'Reported burning'!H3675</f>
        <v>0</v>
      </c>
      <c r="I3675" s="5"/>
    </row>
    <row r="3676" spans="1:9">
      <c r="A3676" s="156">
        <f>'Reported burning'!A3676</f>
        <v>0</v>
      </c>
      <c r="B3676" s="156">
        <f>'Reported burning'!B3676</f>
        <v>0</v>
      </c>
      <c r="C3676" s="156">
        <f>'Reported burning'!C3676</f>
        <v>0</v>
      </c>
      <c r="D3676" s="156">
        <f>'Reported burning'!D3676</f>
        <v>0</v>
      </c>
      <c r="E3676" s="156">
        <f>'Reported burning'!E3676</f>
        <v>0</v>
      </c>
      <c r="F3676" s="156">
        <f>'Reported burning'!F3676</f>
        <v>0</v>
      </c>
      <c r="G3676" s="156">
        <f>'Reported burning'!G3676</f>
        <v>0</v>
      </c>
      <c r="H3676" s="156">
        <f>'Reported burning'!H3676</f>
        <v>0</v>
      </c>
      <c r="I3676" s="5"/>
    </row>
    <row r="3677" spans="1:9">
      <c r="A3677" s="156">
        <f>'Reported burning'!A3677</f>
        <v>0</v>
      </c>
      <c r="B3677" s="156">
        <f>'Reported burning'!B3677</f>
        <v>0</v>
      </c>
      <c r="C3677" s="156">
        <f>'Reported burning'!C3677</f>
        <v>0</v>
      </c>
      <c r="D3677" s="156">
        <f>'Reported burning'!D3677</f>
        <v>0</v>
      </c>
      <c r="E3677" s="156">
        <f>'Reported burning'!E3677</f>
        <v>0</v>
      </c>
      <c r="F3677" s="156">
        <f>'Reported burning'!F3677</f>
        <v>0</v>
      </c>
      <c r="G3677" s="156">
        <f>'Reported burning'!G3677</f>
        <v>0</v>
      </c>
      <c r="H3677" s="156">
        <f>'Reported burning'!H3677</f>
        <v>0</v>
      </c>
      <c r="I3677" s="5"/>
    </row>
    <row r="3678" spans="1:9">
      <c r="A3678" s="156">
        <f>'Reported burning'!A3678</f>
        <v>0</v>
      </c>
      <c r="B3678" s="156">
        <f>'Reported burning'!B3678</f>
        <v>0</v>
      </c>
      <c r="C3678" s="156">
        <f>'Reported burning'!C3678</f>
        <v>0</v>
      </c>
      <c r="D3678" s="156">
        <f>'Reported burning'!D3678</f>
        <v>0</v>
      </c>
      <c r="E3678" s="156">
        <f>'Reported burning'!E3678</f>
        <v>0</v>
      </c>
      <c r="F3678" s="156">
        <f>'Reported burning'!F3678</f>
        <v>0</v>
      </c>
      <c r="G3678" s="156">
        <f>'Reported burning'!G3678</f>
        <v>0</v>
      </c>
      <c r="H3678" s="156">
        <f>'Reported burning'!H3678</f>
        <v>0</v>
      </c>
      <c r="I3678" s="5"/>
    </row>
    <row r="3679" spans="1:9">
      <c r="A3679" s="156">
        <f>'Reported burning'!A3679</f>
        <v>0</v>
      </c>
      <c r="B3679" s="156">
        <f>'Reported burning'!B3679</f>
        <v>0</v>
      </c>
      <c r="C3679" s="156">
        <f>'Reported burning'!C3679</f>
        <v>0</v>
      </c>
      <c r="D3679" s="156">
        <f>'Reported burning'!D3679</f>
        <v>0</v>
      </c>
      <c r="E3679" s="156">
        <f>'Reported burning'!E3679</f>
        <v>0</v>
      </c>
      <c r="F3679" s="156">
        <f>'Reported burning'!F3679</f>
        <v>0</v>
      </c>
      <c r="G3679" s="156">
        <f>'Reported burning'!G3679</f>
        <v>0</v>
      </c>
      <c r="H3679" s="156">
        <f>'Reported burning'!H3679</f>
        <v>0</v>
      </c>
      <c r="I3679" s="5"/>
    </row>
    <row r="3680" spans="1:9">
      <c r="A3680" s="156">
        <f>'Reported burning'!A3680</f>
        <v>0</v>
      </c>
      <c r="B3680" s="156">
        <f>'Reported burning'!B3680</f>
        <v>0</v>
      </c>
      <c r="C3680" s="156">
        <f>'Reported burning'!C3680</f>
        <v>0</v>
      </c>
      <c r="D3680" s="156">
        <f>'Reported burning'!D3680</f>
        <v>0</v>
      </c>
      <c r="E3680" s="156">
        <f>'Reported burning'!E3680</f>
        <v>0</v>
      </c>
      <c r="F3680" s="156">
        <f>'Reported burning'!F3680</f>
        <v>0</v>
      </c>
      <c r="G3680" s="156">
        <f>'Reported burning'!G3680</f>
        <v>0</v>
      </c>
      <c r="H3680" s="156">
        <f>'Reported burning'!H3680</f>
        <v>0</v>
      </c>
      <c r="I3680" s="5"/>
    </row>
    <row r="3681" spans="1:9">
      <c r="A3681" s="156">
        <f>'Reported burning'!A3681</f>
        <v>0</v>
      </c>
      <c r="B3681" s="156">
        <f>'Reported burning'!B3681</f>
        <v>0</v>
      </c>
      <c r="C3681" s="156">
        <f>'Reported burning'!C3681</f>
        <v>0</v>
      </c>
      <c r="D3681" s="156">
        <f>'Reported burning'!D3681</f>
        <v>0</v>
      </c>
      <c r="E3681" s="156">
        <f>'Reported burning'!E3681</f>
        <v>0</v>
      </c>
      <c r="F3681" s="156">
        <f>'Reported burning'!F3681</f>
        <v>0</v>
      </c>
      <c r="G3681" s="156">
        <f>'Reported burning'!G3681</f>
        <v>0</v>
      </c>
      <c r="H3681" s="156">
        <f>'Reported burning'!H3681</f>
        <v>0</v>
      </c>
      <c r="I3681" s="5"/>
    </row>
    <row r="3682" spans="1:9">
      <c r="A3682" s="156">
        <f>'Reported burning'!A3682</f>
        <v>0</v>
      </c>
      <c r="B3682" s="156">
        <f>'Reported burning'!B3682</f>
        <v>0</v>
      </c>
      <c r="C3682" s="156">
        <f>'Reported burning'!C3682</f>
        <v>0</v>
      </c>
      <c r="D3682" s="156">
        <f>'Reported burning'!D3682</f>
        <v>0</v>
      </c>
      <c r="E3682" s="156">
        <f>'Reported burning'!E3682</f>
        <v>0</v>
      </c>
      <c r="F3682" s="156">
        <f>'Reported burning'!F3682</f>
        <v>0</v>
      </c>
      <c r="G3682" s="156">
        <f>'Reported burning'!G3682</f>
        <v>0</v>
      </c>
      <c r="H3682" s="156">
        <f>'Reported burning'!H3682</f>
        <v>0</v>
      </c>
      <c r="I3682" s="5"/>
    </row>
    <row r="3683" spans="1:9">
      <c r="A3683" s="156">
        <f>'Reported burning'!A3683</f>
        <v>0</v>
      </c>
      <c r="B3683" s="156">
        <f>'Reported burning'!B3683</f>
        <v>0</v>
      </c>
      <c r="C3683" s="156">
        <f>'Reported burning'!C3683</f>
        <v>0</v>
      </c>
      <c r="D3683" s="156">
        <f>'Reported burning'!D3683</f>
        <v>0</v>
      </c>
      <c r="E3683" s="156">
        <f>'Reported burning'!E3683</f>
        <v>0</v>
      </c>
      <c r="F3683" s="156">
        <f>'Reported burning'!F3683</f>
        <v>0</v>
      </c>
      <c r="G3683" s="156">
        <f>'Reported burning'!G3683</f>
        <v>0</v>
      </c>
      <c r="H3683" s="156">
        <f>'Reported burning'!H3683</f>
        <v>0</v>
      </c>
      <c r="I3683" s="5"/>
    </row>
    <row r="3684" spans="1:9">
      <c r="A3684" s="156">
        <f>'Reported burning'!A3684</f>
        <v>0</v>
      </c>
      <c r="B3684" s="156">
        <f>'Reported burning'!B3684</f>
        <v>0</v>
      </c>
      <c r="C3684" s="156">
        <f>'Reported burning'!C3684</f>
        <v>0</v>
      </c>
      <c r="D3684" s="156">
        <f>'Reported burning'!D3684</f>
        <v>0</v>
      </c>
      <c r="E3684" s="156">
        <f>'Reported burning'!E3684</f>
        <v>0</v>
      </c>
      <c r="F3684" s="156">
        <f>'Reported burning'!F3684</f>
        <v>0</v>
      </c>
      <c r="G3684" s="156">
        <f>'Reported burning'!G3684</f>
        <v>0</v>
      </c>
      <c r="H3684" s="156">
        <f>'Reported burning'!H3684</f>
        <v>0</v>
      </c>
      <c r="I3684" s="5"/>
    </row>
    <row r="3685" spans="1:9">
      <c r="A3685" s="156">
        <f>'Reported burning'!A3685</f>
        <v>0</v>
      </c>
      <c r="B3685" s="156">
        <f>'Reported burning'!B3685</f>
        <v>0</v>
      </c>
      <c r="C3685" s="156">
        <f>'Reported burning'!C3685</f>
        <v>0</v>
      </c>
      <c r="D3685" s="156">
        <f>'Reported burning'!D3685</f>
        <v>0</v>
      </c>
      <c r="E3685" s="156">
        <f>'Reported burning'!E3685</f>
        <v>0</v>
      </c>
      <c r="F3685" s="156">
        <f>'Reported burning'!F3685</f>
        <v>0</v>
      </c>
      <c r="G3685" s="156">
        <f>'Reported burning'!G3685</f>
        <v>0</v>
      </c>
      <c r="H3685" s="156">
        <f>'Reported burning'!H3685</f>
        <v>0</v>
      </c>
      <c r="I3685" s="5"/>
    </row>
    <row r="3686" spans="1:9">
      <c r="A3686" s="156">
        <f>'Reported burning'!A3686</f>
        <v>0</v>
      </c>
      <c r="B3686" s="156">
        <f>'Reported burning'!B3686</f>
        <v>0</v>
      </c>
      <c r="C3686" s="156">
        <f>'Reported burning'!C3686</f>
        <v>0</v>
      </c>
      <c r="D3686" s="156">
        <f>'Reported burning'!D3686</f>
        <v>0</v>
      </c>
      <c r="E3686" s="156">
        <f>'Reported burning'!E3686</f>
        <v>0</v>
      </c>
      <c r="F3686" s="156">
        <f>'Reported burning'!F3686</f>
        <v>0</v>
      </c>
      <c r="G3686" s="156">
        <f>'Reported burning'!G3686</f>
        <v>0</v>
      </c>
      <c r="H3686" s="156">
        <f>'Reported burning'!H3686</f>
        <v>0</v>
      </c>
      <c r="I3686" s="5"/>
    </row>
    <row r="3687" spans="1:9">
      <c r="A3687" s="156">
        <f>'Reported burning'!A3687</f>
        <v>0</v>
      </c>
      <c r="B3687" s="156">
        <f>'Reported burning'!B3687</f>
        <v>0</v>
      </c>
      <c r="C3687" s="156">
        <f>'Reported burning'!C3687</f>
        <v>0</v>
      </c>
      <c r="D3687" s="156">
        <f>'Reported burning'!D3687</f>
        <v>0</v>
      </c>
      <c r="E3687" s="156">
        <f>'Reported burning'!E3687</f>
        <v>0</v>
      </c>
      <c r="F3687" s="156">
        <f>'Reported burning'!F3687</f>
        <v>0</v>
      </c>
      <c r="G3687" s="156">
        <f>'Reported burning'!G3687</f>
        <v>0</v>
      </c>
      <c r="H3687" s="156">
        <f>'Reported burning'!H3687</f>
        <v>0</v>
      </c>
      <c r="I3687" s="5"/>
    </row>
    <row r="3688" spans="1:9">
      <c r="A3688" s="156">
        <f>'Reported burning'!A3688</f>
        <v>0</v>
      </c>
      <c r="B3688" s="156">
        <f>'Reported burning'!B3688</f>
        <v>0</v>
      </c>
      <c r="C3688" s="156">
        <f>'Reported burning'!C3688</f>
        <v>0</v>
      </c>
      <c r="D3688" s="156">
        <f>'Reported burning'!D3688</f>
        <v>0</v>
      </c>
      <c r="E3688" s="156">
        <f>'Reported burning'!E3688</f>
        <v>0</v>
      </c>
      <c r="F3688" s="156">
        <f>'Reported burning'!F3688</f>
        <v>0</v>
      </c>
      <c r="G3688" s="156">
        <f>'Reported burning'!G3688</f>
        <v>0</v>
      </c>
      <c r="H3688" s="156">
        <f>'Reported burning'!H3688</f>
        <v>0</v>
      </c>
      <c r="I3688" s="5"/>
    </row>
    <row r="3689" spans="1:9">
      <c r="A3689" s="156">
        <f>'Reported burning'!A3689</f>
        <v>0</v>
      </c>
      <c r="B3689" s="156">
        <f>'Reported burning'!B3689</f>
        <v>0</v>
      </c>
      <c r="C3689" s="156">
        <f>'Reported burning'!C3689</f>
        <v>0</v>
      </c>
      <c r="D3689" s="156">
        <f>'Reported burning'!D3689</f>
        <v>0</v>
      </c>
      <c r="E3689" s="156">
        <f>'Reported burning'!E3689</f>
        <v>0</v>
      </c>
      <c r="F3689" s="156">
        <f>'Reported burning'!F3689</f>
        <v>0</v>
      </c>
      <c r="G3689" s="156">
        <f>'Reported burning'!G3689</f>
        <v>0</v>
      </c>
      <c r="H3689" s="156">
        <f>'Reported burning'!H3689</f>
        <v>0</v>
      </c>
      <c r="I3689" s="5"/>
    </row>
    <row r="3690" spans="1:9">
      <c r="A3690" s="156">
        <f>'Reported burning'!A3690</f>
        <v>0</v>
      </c>
      <c r="B3690" s="156">
        <f>'Reported burning'!B3690</f>
        <v>0</v>
      </c>
      <c r="C3690" s="156">
        <f>'Reported burning'!C3690</f>
        <v>0</v>
      </c>
      <c r="D3690" s="156">
        <f>'Reported burning'!D3690</f>
        <v>0</v>
      </c>
      <c r="E3690" s="156">
        <f>'Reported burning'!E3690</f>
        <v>0</v>
      </c>
      <c r="F3690" s="156">
        <f>'Reported burning'!F3690</f>
        <v>0</v>
      </c>
      <c r="G3690" s="156">
        <f>'Reported burning'!G3690</f>
        <v>0</v>
      </c>
      <c r="H3690" s="156">
        <f>'Reported burning'!H3690</f>
        <v>0</v>
      </c>
      <c r="I3690" s="5"/>
    </row>
    <row r="3691" spans="1:9">
      <c r="A3691" s="156">
        <f>'Reported burning'!A3691</f>
        <v>0</v>
      </c>
      <c r="B3691" s="156">
        <f>'Reported burning'!B3691</f>
        <v>0</v>
      </c>
      <c r="C3691" s="156">
        <f>'Reported burning'!C3691</f>
        <v>0</v>
      </c>
      <c r="D3691" s="156">
        <f>'Reported burning'!D3691</f>
        <v>0</v>
      </c>
      <c r="E3691" s="156">
        <f>'Reported burning'!E3691</f>
        <v>0</v>
      </c>
      <c r="F3691" s="156">
        <f>'Reported burning'!F3691</f>
        <v>0</v>
      </c>
      <c r="G3691" s="156">
        <f>'Reported burning'!G3691</f>
        <v>0</v>
      </c>
      <c r="H3691" s="156">
        <f>'Reported burning'!H3691</f>
        <v>0</v>
      </c>
      <c r="I3691" s="5"/>
    </row>
    <row r="3692" spans="1:9">
      <c r="A3692" s="156">
        <f>'Reported burning'!A3692</f>
        <v>0</v>
      </c>
      <c r="B3692" s="156">
        <f>'Reported burning'!B3692</f>
        <v>0</v>
      </c>
      <c r="C3692" s="156">
        <f>'Reported burning'!C3692</f>
        <v>0</v>
      </c>
      <c r="D3692" s="156">
        <f>'Reported burning'!D3692</f>
        <v>0</v>
      </c>
      <c r="E3692" s="156">
        <f>'Reported burning'!E3692</f>
        <v>0</v>
      </c>
      <c r="F3692" s="156">
        <f>'Reported burning'!F3692</f>
        <v>0</v>
      </c>
      <c r="G3692" s="156">
        <f>'Reported burning'!G3692</f>
        <v>0</v>
      </c>
      <c r="H3692" s="156">
        <f>'Reported burning'!H3692</f>
        <v>0</v>
      </c>
      <c r="I3692" s="5"/>
    </row>
    <row r="3693" spans="1:9">
      <c r="A3693" s="156">
        <f>'Reported burning'!A3693</f>
        <v>0</v>
      </c>
      <c r="B3693" s="156">
        <f>'Reported burning'!B3693</f>
        <v>0</v>
      </c>
      <c r="C3693" s="156">
        <f>'Reported burning'!C3693</f>
        <v>0</v>
      </c>
      <c r="D3693" s="156">
        <f>'Reported burning'!D3693</f>
        <v>0</v>
      </c>
      <c r="E3693" s="156">
        <f>'Reported burning'!E3693</f>
        <v>0</v>
      </c>
      <c r="F3693" s="156">
        <f>'Reported burning'!F3693</f>
        <v>0</v>
      </c>
      <c r="G3693" s="156">
        <f>'Reported burning'!G3693</f>
        <v>0</v>
      </c>
      <c r="H3693" s="156">
        <f>'Reported burning'!H3693</f>
        <v>0</v>
      </c>
      <c r="I3693" s="5"/>
    </row>
    <row r="3694" spans="1:9">
      <c r="A3694" s="156">
        <f>'Reported burning'!A3694</f>
        <v>0</v>
      </c>
      <c r="B3694" s="156">
        <f>'Reported burning'!B3694</f>
        <v>0</v>
      </c>
      <c r="C3694" s="156">
        <f>'Reported burning'!C3694</f>
        <v>0</v>
      </c>
      <c r="D3694" s="156">
        <f>'Reported burning'!D3694</f>
        <v>0</v>
      </c>
      <c r="E3694" s="156">
        <f>'Reported burning'!E3694</f>
        <v>0</v>
      </c>
      <c r="F3694" s="156">
        <f>'Reported burning'!F3694</f>
        <v>0</v>
      </c>
      <c r="G3694" s="156">
        <f>'Reported burning'!G3694</f>
        <v>0</v>
      </c>
      <c r="H3694" s="156">
        <f>'Reported burning'!H3694</f>
        <v>0</v>
      </c>
      <c r="I3694" s="5"/>
    </row>
    <row r="3695" spans="1:9">
      <c r="A3695" s="156">
        <f>'Reported burning'!A3695</f>
        <v>0</v>
      </c>
      <c r="B3695" s="156">
        <f>'Reported burning'!B3695</f>
        <v>0</v>
      </c>
      <c r="C3695" s="156">
        <f>'Reported burning'!C3695</f>
        <v>0</v>
      </c>
      <c r="D3695" s="156">
        <f>'Reported burning'!D3695</f>
        <v>0</v>
      </c>
      <c r="E3695" s="156">
        <f>'Reported burning'!E3695</f>
        <v>0</v>
      </c>
      <c r="F3695" s="156">
        <f>'Reported burning'!F3695</f>
        <v>0</v>
      </c>
      <c r="G3695" s="156">
        <f>'Reported burning'!G3695</f>
        <v>0</v>
      </c>
      <c r="H3695" s="156">
        <f>'Reported burning'!H3695</f>
        <v>0</v>
      </c>
      <c r="I3695" s="5"/>
    </row>
    <row r="3696" spans="1:9">
      <c r="A3696" s="156">
        <f>'Reported burning'!A3696</f>
        <v>0</v>
      </c>
      <c r="B3696" s="156">
        <f>'Reported burning'!B3696</f>
        <v>0</v>
      </c>
      <c r="C3696" s="156">
        <f>'Reported burning'!C3696</f>
        <v>0</v>
      </c>
      <c r="D3696" s="156">
        <f>'Reported burning'!D3696</f>
        <v>0</v>
      </c>
      <c r="E3696" s="156">
        <f>'Reported burning'!E3696</f>
        <v>0</v>
      </c>
      <c r="F3696" s="156">
        <f>'Reported burning'!F3696</f>
        <v>0</v>
      </c>
      <c r="G3696" s="156">
        <f>'Reported burning'!G3696</f>
        <v>0</v>
      </c>
      <c r="H3696" s="156">
        <f>'Reported burning'!H3696</f>
        <v>0</v>
      </c>
      <c r="I3696" s="5"/>
    </row>
    <row r="3697" spans="1:9">
      <c r="A3697" s="156">
        <f>'Reported burning'!A3697</f>
        <v>0</v>
      </c>
      <c r="B3697" s="156">
        <f>'Reported burning'!B3697</f>
        <v>0</v>
      </c>
      <c r="C3697" s="156">
        <f>'Reported burning'!C3697</f>
        <v>0</v>
      </c>
      <c r="D3697" s="156">
        <f>'Reported burning'!D3697</f>
        <v>0</v>
      </c>
      <c r="E3697" s="156">
        <f>'Reported burning'!E3697</f>
        <v>0</v>
      </c>
      <c r="F3697" s="156">
        <f>'Reported burning'!F3697</f>
        <v>0</v>
      </c>
      <c r="G3697" s="156">
        <f>'Reported burning'!G3697</f>
        <v>0</v>
      </c>
      <c r="H3697" s="156">
        <f>'Reported burning'!H3697</f>
        <v>0</v>
      </c>
      <c r="I3697" s="5"/>
    </row>
    <row r="3698" spans="1:9">
      <c r="A3698" s="156">
        <f>'Reported burning'!A3698</f>
        <v>0</v>
      </c>
      <c r="B3698" s="156">
        <f>'Reported burning'!B3698</f>
        <v>0</v>
      </c>
      <c r="C3698" s="156">
        <f>'Reported burning'!C3698</f>
        <v>0</v>
      </c>
      <c r="D3698" s="156">
        <f>'Reported burning'!D3698</f>
        <v>0</v>
      </c>
      <c r="E3698" s="156">
        <f>'Reported burning'!E3698</f>
        <v>0</v>
      </c>
      <c r="F3698" s="156">
        <f>'Reported burning'!F3698</f>
        <v>0</v>
      </c>
      <c r="G3698" s="156">
        <f>'Reported burning'!G3698</f>
        <v>0</v>
      </c>
      <c r="H3698" s="156">
        <f>'Reported burning'!H3698</f>
        <v>0</v>
      </c>
      <c r="I3698" s="5"/>
    </row>
    <row r="3699" spans="1:9">
      <c r="A3699" s="156">
        <f>'Reported burning'!A3699</f>
        <v>0</v>
      </c>
      <c r="B3699" s="156">
        <f>'Reported burning'!B3699</f>
        <v>0</v>
      </c>
      <c r="C3699" s="156">
        <f>'Reported burning'!C3699</f>
        <v>0</v>
      </c>
      <c r="D3699" s="156">
        <f>'Reported burning'!D3699</f>
        <v>0</v>
      </c>
      <c r="E3699" s="156">
        <f>'Reported burning'!E3699</f>
        <v>0</v>
      </c>
      <c r="F3699" s="156">
        <f>'Reported burning'!F3699</f>
        <v>0</v>
      </c>
      <c r="G3699" s="156">
        <f>'Reported burning'!G3699</f>
        <v>0</v>
      </c>
      <c r="H3699" s="156">
        <f>'Reported burning'!H3699</f>
        <v>0</v>
      </c>
      <c r="I3699" s="5"/>
    </row>
    <row r="3700" spans="1:9">
      <c r="A3700" s="156">
        <f>'Reported burning'!A3700</f>
        <v>0</v>
      </c>
      <c r="B3700" s="156">
        <f>'Reported burning'!B3700</f>
        <v>0</v>
      </c>
      <c r="C3700" s="156">
        <f>'Reported burning'!C3700</f>
        <v>0</v>
      </c>
      <c r="D3700" s="156">
        <f>'Reported burning'!D3700</f>
        <v>0</v>
      </c>
      <c r="E3700" s="156">
        <f>'Reported burning'!E3700</f>
        <v>0</v>
      </c>
      <c r="F3700" s="156">
        <f>'Reported burning'!F3700</f>
        <v>0</v>
      </c>
      <c r="G3700" s="156">
        <f>'Reported burning'!G3700</f>
        <v>0</v>
      </c>
      <c r="H3700" s="156">
        <f>'Reported burning'!H3700</f>
        <v>0</v>
      </c>
      <c r="I3700" s="5"/>
    </row>
    <row r="3701" spans="1:9">
      <c r="A3701" s="156">
        <f>'Reported burning'!A3701</f>
        <v>0</v>
      </c>
      <c r="B3701" s="156">
        <f>'Reported burning'!B3701</f>
        <v>0</v>
      </c>
      <c r="C3701" s="156">
        <f>'Reported burning'!C3701</f>
        <v>0</v>
      </c>
      <c r="D3701" s="156">
        <f>'Reported burning'!D3701</f>
        <v>0</v>
      </c>
      <c r="E3701" s="156">
        <f>'Reported burning'!E3701</f>
        <v>0</v>
      </c>
      <c r="F3701" s="156">
        <f>'Reported burning'!F3701</f>
        <v>0</v>
      </c>
      <c r="G3701" s="156">
        <f>'Reported burning'!G3701</f>
        <v>0</v>
      </c>
      <c r="H3701" s="156">
        <f>'Reported burning'!H3701</f>
        <v>0</v>
      </c>
      <c r="I3701" s="5"/>
    </row>
    <row r="3702" spans="1:9">
      <c r="A3702" s="156">
        <f>'Reported burning'!A3702</f>
        <v>0</v>
      </c>
      <c r="B3702" s="156">
        <f>'Reported burning'!B3702</f>
        <v>0</v>
      </c>
      <c r="C3702" s="156">
        <f>'Reported burning'!C3702</f>
        <v>0</v>
      </c>
      <c r="D3702" s="156">
        <f>'Reported burning'!D3702</f>
        <v>0</v>
      </c>
      <c r="E3702" s="156">
        <f>'Reported burning'!E3702</f>
        <v>0</v>
      </c>
      <c r="F3702" s="156">
        <f>'Reported burning'!F3702</f>
        <v>0</v>
      </c>
      <c r="G3702" s="156">
        <f>'Reported burning'!G3702</f>
        <v>0</v>
      </c>
      <c r="H3702" s="156">
        <f>'Reported burning'!H3702</f>
        <v>0</v>
      </c>
      <c r="I3702" s="5"/>
    </row>
    <row r="3703" spans="1:9">
      <c r="A3703" s="156">
        <f>'Reported burning'!A3703</f>
        <v>0</v>
      </c>
      <c r="B3703" s="156">
        <f>'Reported burning'!B3703</f>
        <v>0</v>
      </c>
      <c r="C3703" s="156">
        <f>'Reported burning'!C3703</f>
        <v>0</v>
      </c>
      <c r="D3703" s="156">
        <f>'Reported burning'!D3703</f>
        <v>0</v>
      </c>
      <c r="E3703" s="156">
        <f>'Reported burning'!E3703</f>
        <v>0</v>
      </c>
      <c r="F3703" s="156">
        <f>'Reported burning'!F3703</f>
        <v>0</v>
      </c>
      <c r="G3703" s="156">
        <f>'Reported burning'!G3703</f>
        <v>0</v>
      </c>
      <c r="H3703" s="156">
        <f>'Reported burning'!H3703</f>
        <v>0</v>
      </c>
      <c r="I3703" s="5"/>
    </row>
    <row r="3704" spans="1:9">
      <c r="A3704" s="156">
        <f>'Reported burning'!A3704</f>
        <v>0</v>
      </c>
      <c r="B3704" s="156">
        <f>'Reported burning'!B3704</f>
        <v>0</v>
      </c>
      <c r="C3704" s="156">
        <f>'Reported burning'!C3704</f>
        <v>0</v>
      </c>
      <c r="D3704" s="156">
        <f>'Reported burning'!D3704</f>
        <v>0</v>
      </c>
      <c r="E3704" s="156">
        <f>'Reported burning'!E3704</f>
        <v>0</v>
      </c>
      <c r="F3704" s="156">
        <f>'Reported burning'!F3704</f>
        <v>0</v>
      </c>
      <c r="G3704" s="156">
        <f>'Reported burning'!G3704</f>
        <v>0</v>
      </c>
      <c r="H3704" s="156">
        <f>'Reported burning'!H3704</f>
        <v>0</v>
      </c>
      <c r="I3704" s="5"/>
    </row>
    <row r="3705" spans="1:9">
      <c r="A3705" s="156">
        <f>'Reported burning'!A3705</f>
        <v>0</v>
      </c>
      <c r="B3705" s="156">
        <f>'Reported burning'!B3705</f>
        <v>0</v>
      </c>
      <c r="C3705" s="156">
        <f>'Reported burning'!C3705</f>
        <v>0</v>
      </c>
      <c r="D3705" s="156">
        <f>'Reported burning'!D3705</f>
        <v>0</v>
      </c>
      <c r="E3705" s="156">
        <f>'Reported burning'!E3705</f>
        <v>0</v>
      </c>
      <c r="F3705" s="156">
        <f>'Reported burning'!F3705</f>
        <v>0</v>
      </c>
      <c r="G3705" s="156">
        <f>'Reported burning'!G3705</f>
        <v>0</v>
      </c>
      <c r="H3705" s="156">
        <f>'Reported burning'!H3705</f>
        <v>0</v>
      </c>
      <c r="I3705" s="5"/>
    </row>
    <row r="3706" spans="1:9">
      <c r="A3706" s="156">
        <f>'Reported burning'!A3706</f>
        <v>0</v>
      </c>
      <c r="B3706" s="156">
        <f>'Reported burning'!B3706</f>
        <v>0</v>
      </c>
      <c r="C3706" s="156">
        <f>'Reported burning'!C3706</f>
        <v>0</v>
      </c>
      <c r="D3706" s="156">
        <f>'Reported burning'!D3706</f>
        <v>0</v>
      </c>
      <c r="E3706" s="156">
        <f>'Reported burning'!E3706</f>
        <v>0</v>
      </c>
      <c r="F3706" s="156">
        <f>'Reported burning'!F3706</f>
        <v>0</v>
      </c>
      <c r="G3706" s="156">
        <f>'Reported burning'!G3706</f>
        <v>0</v>
      </c>
      <c r="H3706" s="156">
        <f>'Reported burning'!H3706</f>
        <v>0</v>
      </c>
      <c r="I3706" s="5"/>
    </row>
    <row r="3707" spans="1:9">
      <c r="A3707" s="156">
        <f>'Reported burning'!A3707</f>
        <v>0</v>
      </c>
      <c r="B3707" s="156">
        <f>'Reported burning'!B3707</f>
        <v>0</v>
      </c>
      <c r="C3707" s="156">
        <f>'Reported burning'!C3707</f>
        <v>0</v>
      </c>
      <c r="D3707" s="156">
        <f>'Reported burning'!D3707</f>
        <v>0</v>
      </c>
      <c r="E3707" s="156">
        <f>'Reported burning'!E3707</f>
        <v>0</v>
      </c>
      <c r="F3707" s="156">
        <f>'Reported burning'!F3707</f>
        <v>0</v>
      </c>
      <c r="G3707" s="156">
        <f>'Reported burning'!G3707</f>
        <v>0</v>
      </c>
      <c r="H3707" s="156">
        <f>'Reported burning'!H3707</f>
        <v>0</v>
      </c>
      <c r="I3707" s="5"/>
    </row>
    <row r="3708" spans="1:9">
      <c r="A3708" s="156">
        <f>'Reported burning'!A3708</f>
        <v>0</v>
      </c>
      <c r="B3708" s="156">
        <f>'Reported burning'!B3708</f>
        <v>0</v>
      </c>
      <c r="C3708" s="156">
        <f>'Reported burning'!C3708</f>
        <v>0</v>
      </c>
      <c r="D3708" s="156">
        <f>'Reported burning'!D3708</f>
        <v>0</v>
      </c>
      <c r="E3708" s="156">
        <f>'Reported burning'!E3708</f>
        <v>0</v>
      </c>
      <c r="F3708" s="156">
        <f>'Reported burning'!F3708</f>
        <v>0</v>
      </c>
      <c r="G3708" s="156">
        <f>'Reported burning'!G3708</f>
        <v>0</v>
      </c>
      <c r="H3708" s="156">
        <f>'Reported burning'!H3708</f>
        <v>0</v>
      </c>
      <c r="I3708" s="5"/>
    </row>
    <row r="3709" spans="1:9">
      <c r="A3709" s="156">
        <f>'Reported burning'!A3709</f>
        <v>0</v>
      </c>
      <c r="B3709" s="156">
        <f>'Reported burning'!B3709</f>
        <v>0</v>
      </c>
      <c r="C3709" s="156">
        <f>'Reported burning'!C3709</f>
        <v>0</v>
      </c>
      <c r="D3709" s="156">
        <f>'Reported burning'!D3709</f>
        <v>0</v>
      </c>
      <c r="E3709" s="156">
        <f>'Reported burning'!E3709</f>
        <v>0</v>
      </c>
      <c r="F3709" s="156">
        <f>'Reported burning'!F3709</f>
        <v>0</v>
      </c>
      <c r="G3709" s="156">
        <f>'Reported burning'!G3709</f>
        <v>0</v>
      </c>
      <c r="H3709" s="156">
        <f>'Reported burning'!H3709</f>
        <v>0</v>
      </c>
      <c r="I3709" s="5"/>
    </row>
    <row r="3710" spans="1:9">
      <c r="A3710" s="156">
        <f>'Reported burning'!A3710</f>
        <v>0</v>
      </c>
      <c r="B3710" s="156">
        <f>'Reported burning'!B3710</f>
        <v>0</v>
      </c>
      <c r="C3710" s="156">
        <f>'Reported burning'!C3710</f>
        <v>0</v>
      </c>
      <c r="D3710" s="156">
        <f>'Reported burning'!D3710</f>
        <v>0</v>
      </c>
      <c r="E3710" s="156">
        <f>'Reported burning'!E3710</f>
        <v>0</v>
      </c>
      <c r="F3710" s="156">
        <f>'Reported burning'!F3710</f>
        <v>0</v>
      </c>
      <c r="G3710" s="156">
        <f>'Reported burning'!G3710</f>
        <v>0</v>
      </c>
      <c r="H3710" s="156">
        <f>'Reported burning'!H3710</f>
        <v>0</v>
      </c>
      <c r="I3710" s="5"/>
    </row>
    <row r="3711" spans="1:9">
      <c r="A3711" s="156">
        <f>'Reported burning'!A3711</f>
        <v>0</v>
      </c>
      <c r="B3711" s="156">
        <f>'Reported burning'!B3711</f>
        <v>0</v>
      </c>
      <c r="C3711" s="156">
        <f>'Reported burning'!C3711</f>
        <v>0</v>
      </c>
      <c r="D3711" s="156">
        <f>'Reported burning'!D3711</f>
        <v>0</v>
      </c>
      <c r="E3711" s="156">
        <f>'Reported burning'!E3711</f>
        <v>0</v>
      </c>
      <c r="F3711" s="156">
        <f>'Reported burning'!F3711</f>
        <v>0</v>
      </c>
      <c r="G3711" s="156">
        <f>'Reported burning'!G3711</f>
        <v>0</v>
      </c>
      <c r="H3711" s="156">
        <f>'Reported burning'!H3711</f>
        <v>0</v>
      </c>
      <c r="I3711" s="5"/>
    </row>
    <row r="3712" spans="1:9">
      <c r="A3712" s="156">
        <f>'Reported burning'!A3712</f>
        <v>0</v>
      </c>
      <c r="B3712" s="156">
        <f>'Reported burning'!B3712</f>
        <v>0</v>
      </c>
      <c r="C3712" s="156">
        <f>'Reported burning'!C3712</f>
        <v>0</v>
      </c>
      <c r="D3712" s="156">
        <f>'Reported burning'!D3712</f>
        <v>0</v>
      </c>
      <c r="E3712" s="156">
        <f>'Reported burning'!E3712</f>
        <v>0</v>
      </c>
      <c r="F3712" s="156">
        <f>'Reported burning'!F3712</f>
        <v>0</v>
      </c>
      <c r="G3712" s="156">
        <f>'Reported burning'!G3712</f>
        <v>0</v>
      </c>
      <c r="H3712" s="156">
        <f>'Reported burning'!H3712</f>
        <v>0</v>
      </c>
      <c r="I3712" s="5"/>
    </row>
    <row r="3713" spans="1:9">
      <c r="A3713" s="156">
        <f>'Reported burning'!A3713</f>
        <v>0</v>
      </c>
      <c r="B3713" s="156">
        <f>'Reported burning'!B3713</f>
        <v>0</v>
      </c>
      <c r="C3713" s="156">
        <f>'Reported burning'!C3713</f>
        <v>0</v>
      </c>
      <c r="D3713" s="156">
        <f>'Reported burning'!D3713</f>
        <v>0</v>
      </c>
      <c r="E3713" s="156">
        <f>'Reported burning'!E3713</f>
        <v>0</v>
      </c>
      <c r="F3713" s="156">
        <f>'Reported burning'!F3713</f>
        <v>0</v>
      </c>
      <c r="G3713" s="156">
        <f>'Reported burning'!G3713</f>
        <v>0</v>
      </c>
      <c r="H3713" s="156">
        <f>'Reported burning'!H3713</f>
        <v>0</v>
      </c>
      <c r="I3713" s="5"/>
    </row>
    <row r="3714" spans="1:9">
      <c r="A3714" s="156">
        <f>'Reported burning'!A3714</f>
        <v>0</v>
      </c>
      <c r="B3714" s="156">
        <f>'Reported burning'!B3714</f>
        <v>0</v>
      </c>
      <c r="C3714" s="156">
        <f>'Reported burning'!C3714</f>
        <v>0</v>
      </c>
      <c r="D3714" s="156">
        <f>'Reported burning'!D3714</f>
        <v>0</v>
      </c>
      <c r="E3714" s="156">
        <f>'Reported burning'!E3714</f>
        <v>0</v>
      </c>
      <c r="F3714" s="156">
        <f>'Reported burning'!F3714</f>
        <v>0</v>
      </c>
      <c r="G3714" s="156">
        <f>'Reported burning'!G3714</f>
        <v>0</v>
      </c>
      <c r="H3714" s="156">
        <f>'Reported burning'!H3714</f>
        <v>0</v>
      </c>
      <c r="I3714" s="5"/>
    </row>
    <row r="3715" spans="1:9">
      <c r="A3715" s="156">
        <f>'Reported burning'!A3715</f>
        <v>0</v>
      </c>
      <c r="B3715" s="156">
        <f>'Reported burning'!B3715</f>
        <v>0</v>
      </c>
      <c r="C3715" s="156">
        <f>'Reported burning'!C3715</f>
        <v>0</v>
      </c>
      <c r="D3715" s="156">
        <f>'Reported burning'!D3715</f>
        <v>0</v>
      </c>
      <c r="E3715" s="156">
        <f>'Reported burning'!E3715</f>
        <v>0</v>
      </c>
      <c r="F3715" s="156">
        <f>'Reported burning'!F3715</f>
        <v>0</v>
      </c>
      <c r="G3715" s="156">
        <f>'Reported burning'!G3715</f>
        <v>0</v>
      </c>
      <c r="H3715" s="156">
        <f>'Reported burning'!H3715</f>
        <v>0</v>
      </c>
      <c r="I3715" s="5"/>
    </row>
    <row r="3716" spans="1:9">
      <c r="A3716" s="156">
        <f>'Reported burning'!A3716</f>
        <v>0</v>
      </c>
      <c r="B3716" s="156">
        <f>'Reported burning'!B3716</f>
        <v>0</v>
      </c>
      <c r="C3716" s="156">
        <f>'Reported burning'!C3716</f>
        <v>0</v>
      </c>
      <c r="D3716" s="156">
        <f>'Reported burning'!D3716</f>
        <v>0</v>
      </c>
      <c r="E3716" s="156">
        <f>'Reported burning'!E3716</f>
        <v>0</v>
      </c>
      <c r="F3716" s="156">
        <f>'Reported burning'!F3716</f>
        <v>0</v>
      </c>
      <c r="G3716" s="156">
        <f>'Reported burning'!G3716</f>
        <v>0</v>
      </c>
      <c r="H3716" s="156">
        <f>'Reported burning'!H3716</f>
        <v>0</v>
      </c>
      <c r="I3716" s="5"/>
    </row>
    <row r="3717" spans="1:9">
      <c r="A3717" s="156">
        <f>'Reported burning'!A3717</f>
        <v>0</v>
      </c>
      <c r="B3717" s="156">
        <f>'Reported burning'!B3717</f>
        <v>0</v>
      </c>
      <c r="C3717" s="156">
        <f>'Reported burning'!C3717</f>
        <v>0</v>
      </c>
      <c r="D3717" s="156">
        <f>'Reported burning'!D3717</f>
        <v>0</v>
      </c>
      <c r="E3717" s="156">
        <f>'Reported burning'!E3717</f>
        <v>0</v>
      </c>
      <c r="F3717" s="156">
        <f>'Reported burning'!F3717</f>
        <v>0</v>
      </c>
      <c r="G3717" s="156">
        <f>'Reported burning'!G3717</f>
        <v>0</v>
      </c>
      <c r="H3717" s="156">
        <f>'Reported burning'!H3717</f>
        <v>0</v>
      </c>
      <c r="I3717" s="5"/>
    </row>
    <row r="3718" spans="1:9">
      <c r="A3718" s="156">
        <f>'Reported burning'!A3718</f>
        <v>0</v>
      </c>
      <c r="B3718" s="156">
        <f>'Reported burning'!B3718</f>
        <v>0</v>
      </c>
      <c r="C3718" s="156">
        <f>'Reported burning'!C3718</f>
        <v>0</v>
      </c>
      <c r="D3718" s="156">
        <f>'Reported burning'!D3718</f>
        <v>0</v>
      </c>
      <c r="E3718" s="156">
        <f>'Reported burning'!E3718</f>
        <v>0</v>
      </c>
      <c r="F3718" s="156">
        <f>'Reported burning'!F3718</f>
        <v>0</v>
      </c>
      <c r="G3718" s="156">
        <f>'Reported burning'!G3718</f>
        <v>0</v>
      </c>
      <c r="H3718" s="156">
        <f>'Reported burning'!H3718</f>
        <v>0</v>
      </c>
      <c r="I3718" s="5"/>
    </row>
    <row r="3719" spans="1:9">
      <c r="A3719" s="156">
        <f>'Reported burning'!A3719</f>
        <v>0</v>
      </c>
      <c r="B3719" s="156">
        <f>'Reported burning'!B3719</f>
        <v>0</v>
      </c>
      <c r="C3719" s="156">
        <f>'Reported burning'!C3719</f>
        <v>0</v>
      </c>
      <c r="D3719" s="156">
        <f>'Reported burning'!D3719</f>
        <v>0</v>
      </c>
      <c r="E3719" s="156">
        <f>'Reported burning'!E3719</f>
        <v>0</v>
      </c>
      <c r="F3719" s="156">
        <f>'Reported burning'!F3719</f>
        <v>0</v>
      </c>
      <c r="G3719" s="156">
        <f>'Reported burning'!G3719</f>
        <v>0</v>
      </c>
      <c r="H3719" s="156">
        <f>'Reported burning'!H3719</f>
        <v>0</v>
      </c>
      <c r="I3719" s="5"/>
    </row>
    <row r="3720" spans="1:9">
      <c r="A3720" s="156">
        <f>'Reported burning'!A3720</f>
        <v>0</v>
      </c>
      <c r="B3720" s="156">
        <f>'Reported burning'!B3720</f>
        <v>0</v>
      </c>
      <c r="C3720" s="156">
        <f>'Reported burning'!C3720</f>
        <v>0</v>
      </c>
      <c r="D3720" s="156">
        <f>'Reported burning'!D3720</f>
        <v>0</v>
      </c>
      <c r="E3720" s="156">
        <f>'Reported burning'!E3720</f>
        <v>0</v>
      </c>
      <c r="F3720" s="156">
        <f>'Reported burning'!F3720</f>
        <v>0</v>
      </c>
      <c r="G3720" s="156">
        <f>'Reported burning'!G3720</f>
        <v>0</v>
      </c>
      <c r="H3720" s="156">
        <f>'Reported burning'!H3720</f>
        <v>0</v>
      </c>
      <c r="I3720" s="5"/>
    </row>
    <row r="3721" spans="1:9">
      <c r="A3721" s="156">
        <f>'Reported burning'!A3721</f>
        <v>0</v>
      </c>
      <c r="B3721" s="156">
        <f>'Reported burning'!B3721</f>
        <v>0</v>
      </c>
      <c r="C3721" s="156">
        <f>'Reported burning'!C3721</f>
        <v>0</v>
      </c>
      <c r="D3721" s="156">
        <f>'Reported burning'!D3721</f>
        <v>0</v>
      </c>
      <c r="E3721" s="156">
        <f>'Reported burning'!E3721</f>
        <v>0</v>
      </c>
      <c r="F3721" s="156">
        <f>'Reported burning'!F3721</f>
        <v>0</v>
      </c>
      <c r="G3721" s="156">
        <f>'Reported burning'!G3721</f>
        <v>0</v>
      </c>
      <c r="H3721" s="156">
        <f>'Reported burning'!H3721</f>
        <v>0</v>
      </c>
      <c r="I3721" s="5"/>
    </row>
    <row r="3722" spans="1:9">
      <c r="A3722" s="156">
        <f>'Reported burning'!A3722</f>
        <v>0</v>
      </c>
      <c r="B3722" s="156">
        <f>'Reported burning'!B3722</f>
        <v>0</v>
      </c>
      <c r="C3722" s="156">
        <f>'Reported burning'!C3722</f>
        <v>0</v>
      </c>
      <c r="D3722" s="156">
        <f>'Reported burning'!D3722</f>
        <v>0</v>
      </c>
      <c r="E3722" s="156">
        <f>'Reported burning'!E3722</f>
        <v>0</v>
      </c>
      <c r="F3722" s="156">
        <f>'Reported burning'!F3722</f>
        <v>0</v>
      </c>
      <c r="G3722" s="156">
        <f>'Reported burning'!G3722</f>
        <v>0</v>
      </c>
      <c r="H3722" s="156">
        <f>'Reported burning'!H3722</f>
        <v>0</v>
      </c>
      <c r="I3722" s="5"/>
    </row>
    <row r="3723" spans="1:9">
      <c r="A3723" s="156">
        <f>'Reported burning'!A3723</f>
        <v>0</v>
      </c>
      <c r="B3723" s="156">
        <f>'Reported burning'!B3723</f>
        <v>0</v>
      </c>
      <c r="C3723" s="156">
        <f>'Reported burning'!C3723</f>
        <v>0</v>
      </c>
      <c r="D3723" s="156">
        <f>'Reported burning'!D3723</f>
        <v>0</v>
      </c>
      <c r="E3723" s="156">
        <f>'Reported burning'!E3723</f>
        <v>0</v>
      </c>
      <c r="F3723" s="156">
        <f>'Reported burning'!F3723</f>
        <v>0</v>
      </c>
      <c r="G3723" s="156">
        <f>'Reported burning'!G3723</f>
        <v>0</v>
      </c>
      <c r="H3723" s="156">
        <f>'Reported burning'!H3723</f>
        <v>0</v>
      </c>
      <c r="I3723" s="5"/>
    </row>
    <row r="3724" spans="1:9">
      <c r="A3724" s="156">
        <f>'Reported burning'!A3724</f>
        <v>0</v>
      </c>
      <c r="B3724" s="156">
        <f>'Reported burning'!B3724</f>
        <v>0</v>
      </c>
      <c r="C3724" s="156">
        <f>'Reported burning'!C3724</f>
        <v>0</v>
      </c>
      <c r="D3724" s="156">
        <f>'Reported burning'!D3724</f>
        <v>0</v>
      </c>
      <c r="E3724" s="156">
        <f>'Reported burning'!E3724</f>
        <v>0</v>
      </c>
      <c r="F3724" s="156">
        <f>'Reported burning'!F3724</f>
        <v>0</v>
      </c>
      <c r="G3724" s="156">
        <f>'Reported burning'!G3724</f>
        <v>0</v>
      </c>
      <c r="H3724" s="156">
        <f>'Reported burning'!H3724</f>
        <v>0</v>
      </c>
      <c r="I3724" s="5"/>
    </row>
    <row r="3725" spans="1:9">
      <c r="A3725" s="156">
        <f>'Reported burning'!A3725</f>
        <v>0</v>
      </c>
      <c r="B3725" s="156">
        <f>'Reported burning'!B3725</f>
        <v>0</v>
      </c>
      <c r="C3725" s="156">
        <f>'Reported burning'!C3725</f>
        <v>0</v>
      </c>
      <c r="D3725" s="156">
        <f>'Reported burning'!D3725</f>
        <v>0</v>
      </c>
      <c r="E3725" s="156">
        <f>'Reported burning'!E3725</f>
        <v>0</v>
      </c>
      <c r="F3725" s="156">
        <f>'Reported burning'!F3725</f>
        <v>0</v>
      </c>
      <c r="G3725" s="156">
        <f>'Reported burning'!G3725</f>
        <v>0</v>
      </c>
      <c r="H3725" s="156">
        <f>'Reported burning'!H3725</f>
        <v>0</v>
      </c>
      <c r="I3725" s="5"/>
    </row>
    <row r="3726" spans="1:9">
      <c r="A3726" s="156">
        <f>'Reported burning'!A3726</f>
        <v>0</v>
      </c>
      <c r="B3726" s="156">
        <f>'Reported burning'!B3726</f>
        <v>0</v>
      </c>
      <c r="C3726" s="156">
        <f>'Reported burning'!C3726</f>
        <v>0</v>
      </c>
      <c r="D3726" s="156">
        <f>'Reported burning'!D3726</f>
        <v>0</v>
      </c>
      <c r="E3726" s="156">
        <f>'Reported burning'!E3726</f>
        <v>0</v>
      </c>
      <c r="F3726" s="156">
        <f>'Reported burning'!F3726</f>
        <v>0</v>
      </c>
      <c r="G3726" s="156">
        <f>'Reported burning'!G3726</f>
        <v>0</v>
      </c>
      <c r="H3726" s="156">
        <f>'Reported burning'!H3726</f>
        <v>0</v>
      </c>
      <c r="I3726" s="5"/>
    </row>
    <row r="3727" spans="1:9">
      <c r="A3727" s="156">
        <f>'Reported burning'!A3727</f>
        <v>0</v>
      </c>
      <c r="B3727" s="156">
        <f>'Reported burning'!B3727</f>
        <v>0</v>
      </c>
      <c r="C3727" s="156">
        <f>'Reported burning'!C3727</f>
        <v>0</v>
      </c>
      <c r="D3727" s="156">
        <f>'Reported burning'!D3727</f>
        <v>0</v>
      </c>
      <c r="E3727" s="156">
        <f>'Reported burning'!E3727</f>
        <v>0</v>
      </c>
      <c r="F3727" s="156">
        <f>'Reported burning'!F3727</f>
        <v>0</v>
      </c>
      <c r="G3727" s="156">
        <f>'Reported burning'!G3727</f>
        <v>0</v>
      </c>
      <c r="H3727" s="156">
        <f>'Reported burning'!H3727</f>
        <v>0</v>
      </c>
      <c r="I3727" s="5"/>
    </row>
    <row r="3728" spans="1:9">
      <c r="A3728" s="156">
        <f>'Reported burning'!A3728</f>
        <v>0</v>
      </c>
      <c r="B3728" s="156">
        <f>'Reported burning'!B3728</f>
        <v>0</v>
      </c>
      <c r="C3728" s="156">
        <f>'Reported burning'!C3728</f>
        <v>0</v>
      </c>
      <c r="D3728" s="156">
        <f>'Reported burning'!D3728</f>
        <v>0</v>
      </c>
      <c r="E3728" s="156">
        <f>'Reported burning'!E3728</f>
        <v>0</v>
      </c>
      <c r="F3728" s="156">
        <f>'Reported burning'!F3728</f>
        <v>0</v>
      </c>
      <c r="G3728" s="156">
        <f>'Reported burning'!G3728</f>
        <v>0</v>
      </c>
      <c r="H3728" s="156">
        <f>'Reported burning'!H3728</f>
        <v>0</v>
      </c>
      <c r="I3728" s="5"/>
    </row>
    <row r="3729" spans="1:9">
      <c r="A3729" s="156">
        <f>'Reported burning'!A3729</f>
        <v>0</v>
      </c>
      <c r="B3729" s="156">
        <f>'Reported burning'!B3729</f>
        <v>0</v>
      </c>
      <c r="C3729" s="156">
        <f>'Reported burning'!C3729</f>
        <v>0</v>
      </c>
      <c r="D3729" s="156">
        <f>'Reported burning'!D3729</f>
        <v>0</v>
      </c>
      <c r="E3729" s="156">
        <f>'Reported burning'!E3729</f>
        <v>0</v>
      </c>
      <c r="F3729" s="156">
        <f>'Reported burning'!F3729</f>
        <v>0</v>
      </c>
      <c r="G3729" s="156">
        <f>'Reported burning'!G3729</f>
        <v>0</v>
      </c>
      <c r="H3729" s="156">
        <f>'Reported burning'!H3729</f>
        <v>0</v>
      </c>
      <c r="I3729" s="5"/>
    </row>
    <row r="3730" spans="1:9">
      <c r="A3730" s="156">
        <f>'Reported burning'!A3730</f>
        <v>0</v>
      </c>
      <c r="B3730" s="156">
        <f>'Reported burning'!B3730</f>
        <v>0</v>
      </c>
      <c r="C3730" s="156">
        <f>'Reported burning'!C3730</f>
        <v>0</v>
      </c>
      <c r="D3730" s="156">
        <f>'Reported burning'!D3730</f>
        <v>0</v>
      </c>
      <c r="E3730" s="156">
        <f>'Reported burning'!E3730</f>
        <v>0</v>
      </c>
      <c r="F3730" s="156">
        <f>'Reported burning'!F3730</f>
        <v>0</v>
      </c>
      <c r="G3730" s="156">
        <f>'Reported burning'!G3730</f>
        <v>0</v>
      </c>
      <c r="H3730" s="156">
        <f>'Reported burning'!H3730</f>
        <v>0</v>
      </c>
      <c r="I3730" s="5"/>
    </row>
    <row r="3731" spans="1:9">
      <c r="A3731" s="156">
        <f>'Reported burning'!A3731</f>
        <v>0</v>
      </c>
      <c r="B3731" s="156">
        <f>'Reported burning'!B3731</f>
        <v>0</v>
      </c>
      <c r="C3731" s="156">
        <f>'Reported burning'!C3731</f>
        <v>0</v>
      </c>
      <c r="D3731" s="156">
        <f>'Reported burning'!D3731</f>
        <v>0</v>
      </c>
      <c r="E3731" s="156">
        <f>'Reported burning'!E3731</f>
        <v>0</v>
      </c>
      <c r="F3731" s="156">
        <f>'Reported burning'!F3731</f>
        <v>0</v>
      </c>
      <c r="G3731" s="156">
        <f>'Reported burning'!G3731</f>
        <v>0</v>
      </c>
      <c r="H3731" s="156">
        <f>'Reported burning'!H3731</f>
        <v>0</v>
      </c>
      <c r="I3731" s="5"/>
    </row>
    <row r="3732" spans="1:9">
      <c r="A3732" s="156">
        <f>'Reported burning'!A3732</f>
        <v>0</v>
      </c>
      <c r="B3732" s="156">
        <f>'Reported burning'!B3732</f>
        <v>0</v>
      </c>
      <c r="C3732" s="156">
        <f>'Reported burning'!C3732</f>
        <v>0</v>
      </c>
      <c r="D3732" s="156">
        <f>'Reported burning'!D3732</f>
        <v>0</v>
      </c>
      <c r="E3732" s="156">
        <f>'Reported burning'!E3732</f>
        <v>0</v>
      </c>
      <c r="F3732" s="156">
        <f>'Reported burning'!F3732</f>
        <v>0</v>
      </c>
      <c r="G3732" s="156">
        <f>'Reported burning'!G3732</f>
        <v>0</v>
      </c>
      <c r="H3732" s="156">
        <f>'Reported burning'!H3732</f>
        <v>0</v>
      </c>
      <c r="I3732" s="5"/>
    </row>
    <row r="3733" spans="1:9">
      <c r="A3733" s="156">
        <f>'Reported burning'!A3733</f>
        <v>0</v>
      </c>
      <c r="B3733" s="156">
        <f>'Reported burning'!B3733</f>
        <v>0</v>
      </c>
      <c r="C3733" s="156">
        <f>'Reported burning'!C3733</f>
        <v>0</v>
      </c>
      <c r="D3733" s="156">
        <f>'Reported burning'!D3733</f>
        <v>0</v>
      </c>
      <c r="E3733" s="156">
        <f>'Reported burning'!E3733</f>
        <v>0</v>
      </c>
      <c r="F3733" s="156">
        <f>'Reported burning'!F3733</f>
        <v>0</v>
      </c>
      <c r="G3733" s="156">
        <f>'Reported burning'!G3733</f>
        <v>0</v>
      </c>
      <c r="H3733" s="156">
        <f>'Reported burning'!H3733</f>
        <v>0</v>
      </c>
      <c r="I3733" s="5"/>
    </row>
    <row r="3734" spans="1:9">
      <c r="A3734" s="156">
        <f>'Reported burning'!A3734</f>
        <v>0</v>
      </c>
      <c r="B3734" s="156">
        <f>'Reported burning'!B3734</f>
        <v>0</v>
      </c>
      <c r="C3734" s="156">
        <f>'Reported burning'!C3734</f>
        <v>0</v>
      </c>
      <c r="D3734" s="156">
        <f>'Reported burning'!D3734</f>
        <v>0</v>
      </c>
      <c r="E3734" s="156">
        <f>'Reported burning'!E3734</f>
        <v>0</v>
      </c>
      <c r="F3734" s="156">
        <f>'Reported burning'!F3734</f>
        <v>0</v>
      </c>
      <c r="G3734" s="156">
        <f>'Reported burning'!G3734</f>
        <v>0</v>
      </c>
      <c r="H3734" s="156">
        <f>'Reported burning'!H3734</f>
        <v>0</v>
      </c>
      <c r="I3734" s="5"/>
    </row>
    <row r="3735" spans="1:9">
      <c r="A3735" s="156">
        <f>'Reported burning'!A3735</f>
        <v>0</v>
      </c>
      <c r="B3735" s="156">
        <f>'Reported burning'!B3735</f>
        <v>0</v>
      </c>
      <c r="C3735" s="156">
        <f>'Reported burning'!C3735</f>
        <v>0</v>
      </c>
      <c r="D3735" s="156">
        <f>'Reported burning'!D3735</f>
        <v>0</v>
      </c>
      <c r="E3735" s="156">
        <f>'Reported burning'!E3735</f>
        <v>0</v>
      </c>
      <c r="F3735" s="156">
        <f>'Reported burning'!F3735</f>
        <v>0</v>
      </c>
      <c r="G3735" s="156">
        <f>'Reported burning'!G3735</f>
        <v>0</v>
      </c>
      <c r="H3735" s="156">
        <f>'Reported burning'!H3735</f>
        <v>0</v>
      </c>
      <c r="I3735" s="5"/>
    </row>
    <row r="3736" spans="1:9">
      <c r="A3736" s="156">
        <f>'Reported burning'!A3736</f>
        <v>0</v>
      </c>
      <c r="B3736" s="156">
        <f>'Reported burning'!B3736</f>
        <v>0</v>
      </c>
      <c r="C3736" s="156">
        <f>'Reported burning'!C3736</f>
        <v>0</v>
      </c>
      <c r="D3736" s="156">
        <f>'Reported burning'!D3736</f>
        <v>0</v>
      </c>
      <c r="E3736" s="156">
        <f>'Reported burning'!E3736</f>
        <v>0</v>
      </c>
      <c r="F3736" s="156">
        <f>'Reported burning'!F3736</f>
        <v>0</v>
      </c>
      <c r="G3736" s="156">
        <f>'Reported burning'!G3736</f>
        <v>0</v>
      </c>
      <c r="H3736" s="156">
        <f>'Reported burning'!H3736</f>
        <v>0</v>
      </c>
      <c r="I3736" s="5"/>
    </row>
    <row r="3737" spans="1:9">
      <c r="A3737" s="156">
        <f>'Reported burning'!A3737</f>
        <v>0</v>
      </c>
      <c r="B3737" s="156">
        <f>'Reported burning'!B3737</f>
        <v>0</v>
      </c>
      <c r="C3737" s="156">
        <f>'Reported burning'!C3737</f>
        <v>0</v>
      </c>
      <c r="D3737" s="156">
        <f>'Reported burning'!D3737</f>
        <v>0</v>
      </c>
      <c r="E3737" s="156">
        <f>'Reported burning'!E3737</f>
        <v>0</v>
      </c>
      <c r="F3737" s="156">
        <f>'Reported burning'!F3737</f>
        <v>0</v>
      </c>
      <c r="G3737" s="156">
        <f>'Reported burning'!G3737</f>
        <v>0</v>
      </c>
      <c r="H3737" s="156">
        <f>'Reported burning'!H3737</f>
        <v>0</v>
      </c>
      <c r="I3737" s="5"/>
    </row>
    <row r="3738" spans="1:9">
      <c r="A3738" s="156">
        <f>'Reported burning'!A3738</f>
        <v>0</v>
      </c>
      <c r="B3738" s="156">
        <f>'Reported burning'!B3738</f>
        <v>0</v>
      </c>
      <c r="C3738" s="156">
        <f>'Reported burning'!C3738</f>
        <v>0</v>
      </c>
      <c r="D3738" s="156">
        <f>'Reported burning'!D3738</f>
        <v>0</v>
      </c>
      <c r="E3738" s="156">
        <f>'Reported burning'!E3738</f>
        <v>0</v>
      </c>
      <c r="F3738" s="156">
        <f>'Reported burning'!F3738</f>
        <v>0</v>
      </c>
      <c r="G3738" s="156">
        <f>'Reported burning'!G3738</f>
        <v>0</v>
      </c>
      <c r="H3738" s="156">
        <f>'Reported burning'!H3738</f>
        <v>0</v>
      </c>
      <c r="I3738" s="5"/>
    </row>
    <row r="3739" spans="1:9">
      <c r="A3739" s="156">
        <f>'Reported burning'!A3739</f>
        <v>0</v>
      </c>
      <c r="B3739" s="156">
        <f>'Reported burning'!B3739</f>
        <v>0</v>
      </c>
      <c r="C3739" s="156">
        <f>'Reported burning'!C3739</f>
        <v>0</v>
      </c>
      <c r="D3739" s="156">
        <f>'Reported burning'!D3739</f>
        <v>0</v>
      </c>
      <c r="E3739" s="156">
        <f>'Reported burning'!E3739</f>
        <v>0</v>
      </c>
      <c r="F3739" s="156">
        <f>'Reported burning'!F3739</f>
        <v>0</v>
      </c>
      <c r="G3739" s="156">
        <f>'Reported burning'!G3739</f>
        <v>0</v>
      </c>
      <c r="H3739" s="156">
        <f>'Reported burning'!H3739</f>
        <v>0</v>
      </c>
      <c r="I3739" s="5"/>
    </row>
    <row r="3740" spans="1:9">
      <c r="A3740" s="156">
        <f>'Reported burning'!A3740</f>
        <v>0</v>
      </c>
      <c r="B3740" s="156">
        <f>'Reported burning'!B3740</f>
        <v>0</v>
      </c>
      <c r="C3740" s="156">
        <f>'Reported burning'!C3740</f>
        <v>0</v>
      </c>
      <c r="D3740" s="156">
        <f>'Reported burning'!D3740</f>
        <v>0</v>
      </c>
      <c r="E3740" s="156">
        <f>'Reported burning'!E3740</f>
        <v>0</v>
      </c>
      <c r="F3740" s="156">
        <f>'Reported burning'!F3740</f>
        <v>0</v>
      </c>
      <c r="G3740" s="156">
        <f>'Reported burning'!G3740</f>
        <v>0</v>
      </c>
      <c r="H3740" s="156">
        <f>'Reported burning'!H3740</f>
        <v>0</v>
      </c>
      <c r="I3740" s="5"/>
    </row>
    <row r="3741" spans="1:9">
      <c r="A3741" s="156">
        <f>'Reported burning'!A3741</f>
        <v>0</v>
      </c>
      <c r="B3741" s="156">
        <f>'Reported burning'!B3741</f>
        <v>0</v>
      </c>
      <c r="C3741" s="156">
        <f>'Reported burning'!C3741</f>
        <v>0</v>
      </c>
      <c r="D3741" s="156">
        <f>'Reported burning'!D3741</f>
        <v>0</v>
      </c>
      <c r="E3741" s="156">
        <f>'Reported burning'!E3741</f>
        <v>0</v>
      </c>
      <c r="F3741" s="156">
        <f>'Reported burning'!F3741</f>
        <v>0</v>
      </c>
      <c r="G3741" s="156">
        <f>'Reported burning'!G3741</f>
        <v>0</v>
      </c>
      <c r="H3741" s="156">
        <f>'Reported burning'!H3741</f>
        <v>0</v>
      </c>
      <c r="I3741" s="5"/>
    </row>
    <row r="3742" spans="1:9">
      <c r="A3742" s="156">
        <f>'Reported burning'!A3742</f>
        <v>0</v>
      </c>
      <c r="B3742" s="156">
        <f>'Reported burning'!B3742</f>
        <v>0</v>
      </c>
      <c r="C3742" s="156">
        <f>'Reported burning'!C3742</f>
        <v>0</v>
      </c>
      <c r="D3742" s="156">
        <f>'Reported burning'!D3742</f>
        <v>0</v>
      </c>
      <c r="E3742" s="156">
        <f>'Reported burning'!E3742</f>
        <v>0</v>
      </c>
      <c r="F3742" s="156">
        <f>'Reported burning'!F3742</f>
        <v>0</v>
      </c>
      <c r="G3742" s="156">
        <f>'Reported burning'!G3742</f>
        <v>0</v>
      </c>
      <c r="H3742" s="156">
        <f>'Reported burning'!H3742</f>
        <v>0</v>
      </c>
      <c r="I3742" s="5"/>
    </row>
    <row r="3743" spans="1:9">
      <c r="A3743" s="156">
        <f>'Reported burning'!A3743</f>
        <v>0</v>
      </c>
      <c r="B3743" s="156">
        <f>'Reported burning'!B3743</f>
        <v>0</v>
      </c>
      <c r="C3743" s="156">
        <f>'Reported burning'!C3743</f>
        <v>0</v>
      </c>
      <c r="D3743" s="156">
        <f>'Reported burning'!D3743</f>
        <v>0</v>
      </c>
      <c r="E3743" s="156">
        <f>'Reported burning'!E3743</f>
        <v>0</v>
      </c>
      <c r="F3743" s="156">
        <f>'Reported burning'!F3743</f>
        <v>0</v>
      </c>
      <c r="G3743" s="156">
        <f>'Reported burning'!G3743</f>
        <v>0</v>
      </c>
      <c r="H3743" s="156">
        <f>'Reported burning'!H3743</f>
        <v>0</v>
      </c>
      <c r="I3743" s="5"/>
    </row>
    <row r="3744" spans="1:9">
      <c r="A3744" s="156">
        <f>'Reported burning'!A3744</f>
        <v>0</v>
      </c>
      <c r="B3744" s="156">
        <f>'Reported burning'!B3744</f>
        <v>0</v>
      </c>
      <c r="C3744" s="156">
        <f>'Reported burning'!C3744</f>
        <v>0</v>
      </c>
      <c r="D3744" s="156">
        <f>'Reported burning'!D3744</f>
        <v>0</v>
      </c>
      <c r="E3744" s="156">
        <f>'Reported burning'!E3744</f>
        <v>0</v>
      </c>
      <c r="F3744" s="156">
        <f>'Reported burning'!F3744</f>
        <v>0</v>
      </c>
      <c r="G3744" s="156">
        <f>'Reported burning'!G3744</f>
        <v>0</v>
      </c>
      <c r="H3744" s="156">
        <f>'Reported burning'!H3744</f>
        <v>0</v>
      </c>
      <c r="I3744" s="5"/>
    </row>
    <row r="3745" spans="1:9">
      <c r="A3745" s="156">
        <f>'Reported burning'!A3745</f>
        <v>0</v>
      </c>
      <c r="B3745" s="156">
        <f>'Reported burning'!B3745</f>
        <v>0</v>
      </c>
      <c r="C3745" s="156">
        <f>'Reported burning'!C3745</f>
        <v>0</v>
      </c>
      <c r="D3745" s="156">
        <f>'Reported burning'!D3745</f>
        <v>0</v>
      </c>
      <c r="E3745" s="156">
        <f>'Reported burning'!E3745</f>
        <v>0</v>
      </c>
      <c r="F3745" s="156">
        <f>'Reported burning'!F3745</f>
        <v>0</v>
      </c>
      <c r="G3745" s="156">
        <f>'Reported burning'!G3745</f>
        <v>0</v>
      </c>
      <c r="H3745" s="156">
        <f>'Reported burning'!H3745</f>
        <v>0</v>
      </c>
      <c r="I3745" s="5"/>
    </row>
    <row r="3746" spans="1:9">
      <c r="A3746" s="156">
        <f>'Reported burning'!A3746</f>
        <v>0</v>
      </c>
      <c r="B3746" s="156">
        <f>'Reported burning'!B3746</f>
        <v>0</v>
      </c>
      <c r="C3746" s="156">
        <f>'Reported burning'!C3746</f>
        <v>0</v>
      </c>
      <c r="D3746" s="156">
        <f>'Reported burning'!D3746</f>
        <v>0</v>
      </c>
      <c r="E3746" s="156">
        <f>'Reported burning'!E3746</f>
        <v>0</v>
      </c>
      <c r="F3746" s="156">
        <f>'Reported burning'!F3746</f>
        <v>0</v>
      </c>
      <c r="G3746" s="156">
        <f>'Reported burning'!G3746</f>
        <v>0</v>
      </c>
      <c r="H3746" s="156">
        <f>'Reported burning'!H3746</f>
        <v>0</v>
      </c>
      <c r="I3746" s="5"/>
    </row>
    <row r="3747" spans="1:9">
      <c r="A3747" s="156">
        <f>'Reported burning'!A3747</f>
        <v>0</v>
      </c>
      <c r="B3747" s="156">
        <f>'Reported burning'!B3747</f>
        <v>0</v>
      </c>
      <c r="C3747" s="156">
        <f>'Reported burning'!C3747</f>
        <v>0</v>
      </c>
      <c r="D3747" s="156">
        <f>'Reported burning'!D3747</f>
        <v>0</v>
      </c>
      <c r="E3747" s="156">
        <f>'Reported burning'!E3747</f>
        <v>0</v>
      </c>
      <c r="F3747" s="156">
        <f>'Reported burning'!F3747</f>
        <v>0</v>
      </c>
      <c r="G3747" s="156">
        <f>'Reported burning'!G3747</f>
        <v>0</v>
      </c>
      <c r="H3747" s="156">
        <f>'Reported burning'!H3747</f>
        <v>0</v>
      </c>
      <c r="I3747" s="5"/>
    </row>
    <row r="3748" spans="1:9">
      <c r="A3748" s="156">
        <f>'Reported burning'!A3748</f>
        <v>0</v>
      </c>
      <c r="B3748" s="156">
        <f>'Reported burning'!B3748</f>
        <v>0</v>
      </c>
      <c r="C3748" s="156">
        <f>'Reported burning'!C3748</f>
        <v>0</v>
      </c>
      <c r="D3748" s="156">
        <f>'Reported burning'!D3748</f>
        <v>0</v>
      </c>
      <c r="E3748" s="156">
        <f>'Reported burning'!E3748</f>
        <v>0</v>
      </c>
      <c r="F3748" s="156">
        <f>'Reported burning'!F3748</f>
        <v>0</v>
      </c>
      <c r="G3748" s="156">
        <f>'Reported burning'!G3748</f>
        <v>0</v>
      </c>
      <c r="H3748" s="156">
        <f>'Reported burning'!H3748</f>
        <v>0</v>
      </c>
      <c r="I3748" s="5"/>
    </row>
    <row r="3749" spans="1:9">
      <c r="A3749" s="156">
        <f>'Reported burning'!A3749</f>
        <v>0</v>
      </c>
      <c r="B3749" s="156">
        <f>'Reported burning'!B3749</f>
        <v>0</v>
      </c>
      <c r="C3749" s="156">
        <f>'Reported burning'!C3749</f>
        <v>0</v>
      </c>
      <c r="D3749" s="156">
        <f>'Reported burning'!D3749</f>
        <v>0</v>
      </c>
      <c r="E3749" s="156">
        <f>'Reported burning'!E3749</f>
        <v>0</v>
      </c>
      <c r="F3749" s="156">
        <f>'Reported burning'!F3749</f>
        <v>0</v>
      </c>
      <c r="G3749" s="156">
        <f>'Reported burning'!G3749</f>
        <v>0</v>
      </c>
      <c r="H3749" s="156">
        <f>'Reported burning'!H3749</f>
        <v>0</v>
      </c>
      <c r="I3749" s="5"/>
    </row>
    <row r="3750" spans="1:9">
      <c r="A3750" s="156">
        <f>'Reported burning'!A3750</f>
        <v>0</v>
      </c>
      <c r="B3750" s="156">
        <f>'Reported burning'!B3750</f>
        <v>0</v>
      </c>
      <c r="C3750" s="156">
        <f>'Reported burning'!C3750</f>
        <v>0</v>
      </c>
      <c r="D3750" s="156">
        <f>'Reported burning'!D3750</f>
        <v>0</v>
      </c>
      <c r="E3750" s="156">
        <f>'Reported burning'!E3750</f>
        <v>0</v>
      </c>
      <c r="F3750" s="156">
        <f>'Reported burning'!F3750</f>
        <v>0</v>
      </c>
      <c r="G3750" s="156">
        <f>'Reported burning'!G3750</f>
        <v>0</v>
      </c>
      <c r="H3750" s="156">
        <f>'Reported burning'!H3750</f>
        <v>0</v>
      </c>
      <c r="I3750" s="5"/>
    </row>
    <row r="3751" spans="1:9">
      <c r="A3751" s="156">
        <f>'Reported burning'!A3751</f>
        <v>0</v>
      </c>
      <c r="B3751" s="156">
        <f>'Reported burning'!B3751</f>
        <v>0</v>
      </c>
      <c r="C3751" s="156">
        <f>'Reported burning'!C3751</f>
        <v>0</v>
      </c>
      <c r="D3751" s="156">
        <f>'Reported burning'!D3751</f>
        <v>0</v>
      </c>
      <c r="E3751" s="156">
        <f>'Reported burning'!E3751</f>
        <v>0</v>
      </c>
      <c r="F3751" s="156">
        <f>'Reported burning'!F3751</f>
        <v>0</v>
      </c>
      <c r="G3751" s="156">
        <f>'Reported burning'!G3751</f>
        <v>0</v>
      </c>
      <c r="H3751" s="156">
        <f>'Reported burning'!H3751</f>
        <v>0</v>
      </c>
      <c r="I3751" s="5"/>
    </row>
    <row r="3752" spans="1:9">
      <c r="A3752" s="156">
        <f>'Reported burning'!A3752</f>
        <v>0</v>
      </c>
      <c r="B3752" s="156">
        <f>'Reported burning'!B3752</f>
        <v>0</v>
      </c>
      <c r="C3752" s="156">
        <f>'Reported burning'!C3752</f>
        <v>0</v>
      </c>
      <c r="D3752" s="156">
        <f>'Reported burning'!D3752</f>
        <v>0</v>
      </c>
      <c r="E3752" s="156">
        <f>'Reported burning'!E3752</f>
        <v>0</v>
      </c>
      <c r="F3752" s="156">
        <f>'Reported burning'!F3752</f>
        <v>0</v>
      </c>
      <c r="G3752" s="156">
        <f>'Reported burning'!G3752</f>
        <v>0</v>
      </c>
      <c r="H3752" s="156">
        <f>'Reported burning'!H3752</f>
        <v>0</v>
      </c>
      <c r="I3752" s="5"/>
    </row>
    <row r="3753" spans="1:9">
      <c r="A3753" s="156">
        <f>'Reported burning'!A3753</f>
        <v>0</v>
      </c>
      <c r="B3753" s="156">
        <f>'Reported burning'!B3753</f>
        <v>0</v>
      </c>
      <c r="C3753" s="156">
        <f>'Reported burning'!C3753</f>
        <v>0</v>
      </c>
      <c r="D3753" s="156">
        <f>'Reported burning'!D3753</f>
        <v>0</v>
      </c>
      <c r="E3753" s="156">
        <f>'Reported burning'!E3753</f>
        <v>0</v>
      </c>
      <c r="F3753" s="156">
        <f>'Reported burning'!F3753</f>
        <v>0</v>
      </c>
      <c r="G3753" s="156">
        <f>'Reported burning'!G3753</f>
        <v>0</v>
      </c>
      <c r="H3753" s="156">
        <f>'Reported burning'!H3753</f>
        <v>0</v>
      </c>
      <c r="I3753" s="5"/>
    </row>
    <row r="3754" spans="1:9">
      <c r="A3754" s="156">
        <f>'Reported burning'!A3754</f>
        <v>0</v>
      </c>
      <c r="B3754" s="156">
        <f>'Reported burning'!B3754</f>
        <v>0</v>
      </c>
      <c r="C3754" s="156">
        <f>'Reported burning'!C3754</f>
        <v>0</v>
      </c>
      <c r="D3754" s="156">
        <f>'Reported burning'!D3754</f>
        <v>0</v>
      </c>
      <c r="E3754" s="156">
        <f>'Reported burning'!E3754</f>
        <v>0</v>
      </c>
      <c r="F3754" s="156">
        <f>'Reported burning'!F3754</f>
        <v>0</v>
      </c>
      <c r="G3754" s="156">
        <f>'Reported burning'!G3754</f>
        <v>0</v>
      </c>
      <c r="H3754" s="156">
        <f>'Reported burning'!H3754</f>
        <v>0</v>
      </c>
      <c r="I3754" s="5"/>
    </row>
    <row r="3755" spans="1:9">
      <c r="A3755" s="156">
        <f>'Reported burning'!A3755</f>
        <v>0</v>
      </c>
      <c r="B3755" s="156">
        <f>'Reported burning'!B3755</f>
        <v>0</v>
      </c>
      <c r="C3755" s="156">
        <f>'Reported burning'!C3755</f>
        <v>0</v>
      </c>
      <c r="D3755" s="156">
        <f>'Reported burning'!D3755</f>
        <v>0</v>
      </c>
      <c r="E3755" s="156">
        <f>'Reported burning'!E3755</f>
        <v>0</v>
      </c>
      <c r="F3755" s="156">
        <f>'Reported burning'!F3755</f>
        <v>0</v>
      </c>
      <c r="G3755" s="156">
        <f>'Reported burning'!G3755</f>
        <v>0</v>
      </c>
      <c r="H3755" s="156">
        <f>'Reported burning'!H3755</f>
        <v>0</v>
      </c>
      <c r="I3755" s="5"/>
    </row>
    <row r="3756" spans="1:9">
      <c r="A3756" s="156">
        <f>'Reported burning'!A3756</f>
        <v>0</v>
      </c>
      <c r="B3756" s="156">
        <f>'Reported burning'!B3756</f>
        <v>0</v>
      </c>
      <c r="C3756" s="156">
        <f>'Reported burning'!C3756</f>
        <v>0</v>
      </c>
      <c r="D3756" s="156">
        <f>'Reported burning'!D3756</f>
        <v>0</v>
      </c>
      <c r="E3756" s="156">
        <f>'Reported burning'!E3756</f>
        <v>0</v>
      </c>
      <c r="F3756" s="156">
        <f>'Reported burning'!F3756</f>
        <v>0</v>
      </c>
      <c r="G3756" s="156">
        <f>'Reported burning'!G3756</f>
        <v>0</v>
      </c>
      <c r="H3756" s="156">
        <f>'Reported burning'!H3756</f>
        <v>0</v>
      </c>
      <c r="I3756" s="5"/>
    </row>
    <row r="3757" spans="1:9">
      <c r="A3757" s="156">
        <f>'Reported burning'!A3757</f>
        <v>0</v>
      </c>
      <c r="B3757" s="156">
        <f>'Reported burning'!B3757</f>
        <v>0</v>
      </c>
      <c r="C3757" s="156">
        <f>'Reported burning'!C3757</f>
        <v>0</v>
      </c>
      <c r="D3757" s="156">
        <f>'Reported burning'!D3757</f>
        <v>0</v>
      </c>
      <c r="E3757" s="156">
        <f>'Reported burning'!E3757</f>
        <v>0</v>
      </c>
      <c r="F3757" s="156">
        <f>'Reported burning'!F3757</f>
        <v>0</v>
      </c>
      <c r="G3757" s="156">
        <f>'Reported burning'!G3757</f>
        <v>0</v>
      </c>
      <c r="H3757" s="156">
        <f>'Reported burning'!H3757</f>
        <v>0</v>
      </c>
      <c r="I3757" s="5"/>
    </row>
    <row r="3758" spans="1:9">
      <c r="A3758" s="156">
        <f>'Reported burning'!A3758</f>
        <v>0</v>
      </c>
      <c r="B3758" s="156">
        <f>'Reported burning'!B3758</f>
        <v>0</v>
      </c>
      <c r="C3758" s="156">
        <f>'Reported burning'!C3758</f>
        <v>0</v>
      </c>
      <c r="D3758" s="156">
        <f>'Reported burning'!D3758</f>
        <v>0</v>
      </c>
      <c r="E3758" s="156">
        <f>'Reported burning'!E3758</f>
        <v>0</v>
      </c>
      <c r="F3758" s="156">
        <f>'Reported burning'!F3758</f>
        <v>0</v>
      </c>
      <c r="G3758" s="156">
        <f>'Reported burning'!G3758</f>
        <v>0</v>
      </c>
      <c r="H3758" s="156">
        <f>'Reported burning'!H3758</f>
        <v>0</v>
      </c>
      <c r="I3758" s="5"/>
    </row>
    <row r="3759" spans="1:9">
      <c r="A3759" s="156">
        <f>'Reported burning'!A3759</f>
        <v>0</v>
      </c>
      <c r="B3759" s="156">
        <f>'Reported burning'!B3759</f>
        <v>0</v>
      </c>
      <c r="C3759" s="156">
        <f>'Reported burning'!C3759</f>
        <v>0</v>
      </c>
      <c r="D3759" s="156">
        <f>'Reported burning'!D3759</f>
        <v>0</v>
      </c>
      <c r="E3759" s="156">
        <f>'Reported burning'!E3759</f>
        <v>0</v>
      </c>
      <c r="F3759" s="156">
        <f>'Reported burning'!F3759</f>
        <v>0</v>
      </c>
      <c r="G3759" s="156">
        <f>'Reported burning'!G3759</f>
        <v>0</v>
      </c>
      <c r="H3759" s="156">
        <f>'Reported burning'!H3759</f>
        <v>0</v>
      </c>
      <c r="I3759" s="5"/>
    </row>
    <row r="3760" spans="1:9">
      <c r="A3760" s="156">
        <f>'Reported burning'!A3760</f>
        <v>0</v>
      </c>
      <c r="B3760" s="156">
        <f>'Reported burning'!B3760</f>
        <v>0</v>
      </c>
      <c r="C3760" s="156">
        <f>'Reported burning'!C3760</f>
        <v>0</v>
      </c>
      <c r="D3760" s="156">
        <f>'Reported burning'!D3760</f>
        <v>0</v>
      </c>
      <c r="E3760" s="156">
        <f>'Reported burning'!E3760</f>
        <v>0</v>
      </c>
      <c r="F3760" s="156">
        <f>'Reported burning'!F3760</f>
        <v>0</v>
      </c>
      <c r="G3760" s="156">
        <f>'Reported burning'!G3760</f>
        <v>0</v>
      </c>
      <c r="H3760" s="156">
        <f>'Reported burning'!H3760</f>
        <v>0</v>
      </c>
      <c r="I3760" s="5"/>
    </row>
    <row r="3761" spans="1:9">
      <c r="A3761" s="156">
        <f>'Reported burning'!A3761</f>
        <v>0</v>
      </c>
      <c r="B3761" s="156">
        <f>'Reported burning'!B3761</f>
        <v>0</v>
      </c>
      <c r="C3761" s="156">
        <f>'Reported burning'!C3761</f>
        <v>0</v>
      </c>
      <c r="D3761" s="156">
        <f>'Reported burning'!D3761</f>
        <v>0</v>
      </c>
      <c r="E3761" s="156">
        <f>'Reported burning'!E3761</f>
        <v>0</v>
      </c>
      <c r="F3761" s="156">
        <f>'Reported burning'!F3761</f>
        <v>0</v>
      </c>
      <c r="G3761" s="156">
        <f>'Reported burning'!G3761</f>
        <v>0</v>
      </c>
      <c r="H3761" s="156">
        <f>'Reported burning'!H3761</f>
        <v>0</v>
      </c>
      <c r="I3761" s="5"/>
    </row>
    <row r="3762" spans="1:9">
      <c r="A3762" s="156">
        <f>'Reported burning'!A3762</f>
        <v>0</v>
      </c>
      <c r="B3762" s="156">
        <f>'Reported burning'!B3762</f>
        <v>0</v>
      </c>
      <c r="C3762" s="156">
        <f>'Reported burning'!C3762</f>
        <v>0</v>
      </c>
      <c r="D3762" s="156">
        <f>'Reported burning'!D3762</f>
        <v>0</v>
      </c>
      <c r="E3762" s="156">
        <f>'Reported burning'!E3762</f>
        <v>0</v>
      </c>
      <c r="F3762" s="156">
        <f>'Reported burning'!F3762</f>
        <v>0</v>
      </c>
      <c r="G3762" s="156">
        <f>'Reported burning'!G3762</f>
        <v>0</v>
      </c>
      <c r="H3762" s="156">
        <f>'Reported burning'!H3762</f>
        <v>0</v>
      </c>
      <c r="I3762" s="5"/>
    </row>
    <row r="3763" spans="1:9">
      <c r="A3763" s="156">
        <f>'Reported burning'!A3763</f>
        <v>0</v>
      </c>
      <c r="B3763" s="156">
        <f>'Reported burning'!B3763</f>
        <v>0</v>
      </c>
      <c r="C3763" s="156">
        <f>'Reported burning'!C3763</f>
        <v>0</v>
      </c>
      <c r="D3763" s="156">
        <f>'Reported burning'!D3763</f>
        <v>0</v>
      </c>
      <c r="E3763" s="156">
        <f>'Reported burning'!E3763</f>
        <v>0</v>
      </c>
      <c r="F3763" s="156">
        <f>'Reported burning'!F3763</f>
        <v>0</v>
      </c>
      <c r="G3763" s="156">
        <f>'Reported burning'!G3763</f>
        <v>0</v>
      </c>
      <c r="H3763" s="156">
        <f>'Reported burning'!H3763</f>
        <v>0</v>
      </c>
      <c r="I3763" s="5"/>
    </row>
    <row r="3764" spans="1:9">
      <c r="A3764" s="156">
        <f>'Reported burning'!A3764</f>
        <v>0</v>
      </c>
      <c r="B3764" s="156">
        <f>'Reported burning'!B3764</f>
        <v>0</v>
      </c>
      <c r="C3764" s="156">
        <f>'Reported burning'!C3764</f>
        <v>0</v>
      </c>
      <c r="D3764" s="156">
        <f>'Reported burning'!D3764</f>
        <v>0</v>
      </c>
      <c r="E3764" s="156">
        <f>'Reported burning'!E3764</f>
        <v>0</v>
      </c>
      <c r="F3764" s="156">
        <f>'Reported burning'!F3764</f>
        <v>0</v>
      </c>
      <c r="G3764" s="156">
        <f>'Reported burning'!G3764</f>
        <v>0</v>
      </c>
      <c r="H3764" s="156">
        <f>'Reported burning'!H3764</f>
        <v>0</v>
      </c>
      <c r="I3764" s="5"/>
    </row>
    <row r="3765" spans="1:9">
      <c r="A3765" s="156">
        <f>'Reported burning'!A3765</f>
        <v>0</v>
      </c>
      <c r="B3765" s="156">
        <f>'Reported burning'!B3765</f>
        <v>0</v>
      </c>
      <c r="C3765" s="156">
        <f>'Reported burning'!C3765</f>
        <v>0</v>
      </c>
      <c r="D3765" s="156">
        <f>'Reported burning'!D3765</f>
        <v>0</v>
      </c>
      <c r="E3765" s="156">
        <f>'Reported burning'!E3765</f>
        <v>0</v>
      </c>
      <c r="F3765" s="156">
        <f>'Reported burning'!F3765</f>
        <v>0</v>
      </c>
      <c r="G3765" s="156">
        <f>'Reported burning'!G3765</f>
        <v>0</v>
      </c>
      <c r="H3765" s="156">
        <f>'Reported burning'!H3765</f>
        <v>0</v>
      </c>
      <c r="I3765" s="5"/>
    </row>
    <row r="3766" spans="1:9">
      <c r="A3766" s="156">
        <f>'Reported burning'!A3766</f>
        <v>0</v>
      </c>
      <c r="B3766" s="156">
        <f>'Reported burning'!B3766</f>
        <v>0</v>
      </c>
      <c r="C3766" s="156">
        <f>'Reported burning'!C3766</f>
        <v>0</v>
      </c>
      <c r="D3766" s="156">
        <f>'Reported burning'!D3766</f>
        <v>0</v>
      </c>
      <c r="E3766" s="156">
        <f>'Reported burning'!E3766</f>
        <v>0</v>
      </c>
      <c r="F3766" s="156">
        <f>'Reported burning'!F3766</f>
        <v>0</v>
      </c>
      <c r="G3766" s="156">
        <f>'Reported burning'!G3766</f>
        <v>0</v>
      </c>
      <c r="H3766" s="156">
        <f>'Reported burning'!H3766</f>
        <v>0</v>
      </c>
      <c r="I3766" s="5"/>
    </row>
    <row r="3767" spans="1:9">
      <c r="A3767" s="156">
        <f>'Reported burning'!A3767</f>
        <v>0</v>
      </c>
      <c r="B3767" s="156">
        <f>'Reported burning'!B3767</f>
        <v>0</v>
      </c>
      <c r="C3767" s="156">
        <f>'Reported burning'!C3767</f>
        <v>0</v>
      </c>
      <c r="D3767" s="156">
        <f>'Reported burning'!D3767</f>
        <v>0</v>
      </c>
      <c r="E3767" s="156">
        <f>'Reported burning'!E3767</f>
        <v>0</v>
      </c>
      <c r="F3767" s="156">
        <f>'Reported burning'!F3767</f>
        <v>0</v>
      </c>
      <c r="G3767" s="156">
        <f>'Reported burning'!G3767</f>
        <v>0</v>
      </c>
      <c r="H3767" s="156">
        <f>'Reported burning'!H3767</f>
        <v>0</v>
      </c>
      <c r="I3767" s="5"/>
    </row>
    <row r="3768" spans="1:9">
      <c r="A3768" s="156">
        <f>'Reported burning'!A3768</f>
        <v>0</v>
      </c>
      <c r="B3768" s="156">
        <f>'Reported burning'!B3768</f>
        <v>0</v>
      </c>
      <c r="C3768" s="156">
        <f>'Reported burning'!C3768</f>
        <v>0</v>
      </c>
      <c r="D3768" s="156">
        <f>'Reported burning'!D3768</f>
        <v>0</v>
      </c>
      <c r="E3768" s="156">
        <f>'Reported burning'!E3768</f>
        <v>0</v>
      </c>
      <c r="F3768" s="156">
        <f>'Reported burning'!F3768</f>
        <v>0</v>
      </c>
      <c r="G3768" s="156">
        <f>'Reported burning'!G3768</f>
        <v>0</v>
      </c>
      <c r="H3768" s="156">
        <f>'Reported burning'!H3768</f>
        <v>0</v>
      </c>
      <c r="I3768" s="5"/>
    </row>
    <row r="3769" spans="1:9">
      <c r="A3769" s="156">
        <f>'Reported burning'!A3769</f>
        <v>0</v>
      </c>
      <c r="B3769" s="156">
        <f>'Reported burning'!B3769</f>
        <v>0</v>
      </c>
      <c r="C3769" s="156">
        <f>'Reported burning'!C3769</f>
        <v>0</v>
      </c>
      <c r="D3769" s="156">
        <f>'Reported burning'!D3769</f>
        <v>0</v>
      </c>
      <c r="E3769" s="156">
        <f>'Reported burning'!E3769</f>
        <v>0</v>
      </c>
      <c r="F3769" s="156">
        <f>'Reported burning'!F3769</f>
        <v>0</v>
      </c>
      <c r="G3769" s="156">
        <f>'Reported burning'!G3769</f>
        <v>0</v>
      </c>
      <c r="H3769" s="156">
        <f>'Reported burning'!H3769</f>
        <v>0</v>
      </c>
      <c r="I3769" s="5"/>
    </row>
    <row r="3770" spans="1:9">
      <c r="A3770" s="156">
        <f>'Reported burning'!A3770</f>
        <v>0</v>
      </c>
      <c r="B3770" s="156">
        <f>'Reported burning'!B3770</f>
        <v>0</v>
      </c>
      <c r="C3770" s="156">
        <f>'Reported burning'!C3770</f>
        <v>0</v>
      </c>
      <c r="D3770" s="156">
        <f>'Reported burning'!D3770</f>
        <v>0</v>
      </c>
      <c r="E3770" s="156">
        <f>'Reported burning'!E3770</f>
        <v>0</v>
      </c>
      <c r="F3770" s="156">
        <f>'Reported burning'!F3770</f>
        <v>0</v>
      </c>
      <c r="G3770" s="156">
        <f>'Reported burning'!G3770</f>
        <v>0</v>
      </c>
      <c r="H3770" s="156">
        <f>'Reported burning'!H3770</f>
        <v>0</v>
      </c>
      <c r="I3770" s="5"/>
    </row>
    <row r="3771" spans="1:9">
      <c r="A3771" s="156">
        <f>'Reported burning'!A3771</f>
        <v>0</v>
      </c>
      <c r="B3771" s="156">
        <f>'Reported burning'!B3771</f>
        <v>0</v>
      </c>
      <c r="C3771" s="156">
        <f>'Reported burning'!C3771</f>
        <v>0</v>
      </c>
      <c r="D3771" s="156">
        <f>'Reported burning'!D3771</f>
        <v>0</v>
      </c>
      <c r="E3771" s="156">
        <f>'Reported burning'!E3771</f>
        <v>0</v>
      </c>
      <c r="F3771" s="156">
        <f>'Reported burning'!F3771</f>
        <v>0</v>
      </c>
      <c r="G3771" s="156">
        <f>'Reported burning'!G3771</f>
        <v>0</v>
      </c>
      <c r="H3771" s="156">
        <f>'Reported burning'!H3771</f>
        <v>0</v>
      </c>
      <c r="I3771" s="5"/>
    </row>
    <row r="3772" spans="1:9">
      <c r="A3772" s="156">
        <f>'Reported burning'!A3772</f>
        <v>0</v>
      </c>
      <c r="B3772" s="156">
        <f>'Reported burning'!B3772</f>
        <v>0</v>
      </c>
      <c r="C3772" s="156">
        <f>'Reported burning'!C3772</f>
        <v>0</v>
      </c>
      <c r="D3772" s="156">
        <f>'Reported burning'!D3772</f>
        <v>0</v>
      </c>
      <c r="E3772" s="156">
        <f>'Reported burning'!E3772</f>
        <v>0</v>
      </c>
      <c r="F3772" s="156">
        <f>'Reported burning'!F3772</f>
        <v>0</v>
      </c>
      <c r="G3772" s="156">
        <f>'Reported burning'!G3772</f>
        <v>0</v>
      </c>
      <c r="H3772" s="156">
        <f>'Reported burning'!H3772</f>
        <v>0</v>
      </c>
      <c r="I3772" s="5"/>
    </row>
    <row r="3773" spans="1:9">
      <c r="A3773" s="156">
        <f>'Reported burning'!A3773</f>
        <v>0</v>
      </c>
      <c r="B3773" s="156">
        <f>'Reported burning'!B3773</f>
        <v>0</v>
      </c>
      <c r="C3773" s="156">
        <f>'Reported burning'!C3773</f>
        <v>0</v>
      </c>
      <c r="D3773" s="156">
        <f>'Reported burning'!D3773</f>
        <v>0</v>
      </c>
      <c r="E3773" s="156">
        <f>'Reported burning'!E3773</f>
        <v>0</v>
      </c>
      <c r="F3773" s="156">
        <f>'Reported burning'!F3773</f>
        <v>0</v>
      </c>
      <c r="G3773" s="156">
        <f>'Reported burning'!G3773</f>
        <v>0</v>
      </c>
      <c r="H3773" s="156">
        <f>'Reported burning'!H3773</f>
        <v>0</v>
      </c>
      <c r="I3773" s="5"/>
    </row>
    <row r="3774" spans="1:9">
      <c r="A3774" s="156">
        <f>'Reported burning'!A3774</f>
        <v>0</v>
      </c>
      <c r="B3774" s="156">
        <f>'Reported burning'!B3774</f>
        <v>0</v>
      </c>
      <c r="C3774" s="156">
        <f>'Reported burning'!C3774</f>
        <v>0</v>
      </c>
      <c r="D3774" s="156">
        <f>'Reported burning'!D3774</f>
        <v>0</v>
      </c>
      <c r="E3774" s="156">
        <f>'Reported burning'!E3774</f>
        <v>0</v>
      </c>
      <c r="F3774" s="156">
        <f>'Reported burning'!F3774</f>
        <v>0</v>
      </c>
      <c r="G3774" s="156">
        <f>'Reported burning'!G3774</f>
        <v>0</v>
      </c>
      <c r="H3774" s="156">
        <f>'Reported burning'!H3774</f>
        <v>0</v>
      </c>
      <c r="I3774" s="5"/>
    </row>
    <row r="3775" spans="1:9">
      <c r="A3775" s="156">
        <f>'Reported burning'!A3775</f>
        <v>0</v>
      </c>
      <c r="B3775" s="156">
        <f>'Reported burning'!B3775</f>
        <v>0</v>
      </c>
      <c r="C3775" s="156">
        <f>'Reported burning'!C3775</f>
        <v>0</v>
      </c>
      <c r="D3775" s="156">
        <f>'Reported burning'!D3775</f>
        <v>0</v>
      </c>
      <c r="E3775" s="156">
        <f>'Reported burning'!E3775</f>
        <v>0</v>
      </c>
      <c r="F3775" s="156">
        <f>'Reported burning'!F3775</f>
        <v>0</v>
      </c>
      <c r="G3775" s="156">
        <f>'Reported burning'!G3775</f>
        <v>0</v>
      </c>
      <c r="H3775" s="156">
        <f>'Reported burning'!H3775</f>
        <v>0</v>
      </c>
      <c r="I3775" s="5"/>
    </row>
    <row r="3776" spans="1:9">
      <c r="A3776" s="156">
        <f>'Reported burning'!A3776</f>
        <v>0</v>
      </c>
      <c r="B3776" s="156">
        <f>'Reported burning'!B3776</f>
        <v>0</v>
      </c>
      <c r="C3776" s="156">
        <f>'Reported burning'!C3776</f>
        <v>0</v>
      </c>
      <c r="D3776" s="156">
        <f>'Reported burning'!D3776</f>
        <v>0</v>
      </c>
      <c r="E3776" s="156">
        <f>'Reported burning'!E3776</f>
        <v>0</v>
      </c>
      <c r="F3776" s="156">
        <f>'Reported burning'!F3776</f>
        <v>0</v>
      </c>
      <c r="G3776" s="156">
        <f>'Reported burning'!G3776</f>
        <v>0</v>
      </c>
      <c r="H3776" s="156">
        <f>'Reported burning'!H3776</f>
        <v>0</v>
      </c>
      <c r="I3776" s="5"/>
    </row>
    <row r="3777" spans="1:9">
      <c r="A3777" s="156">
        <f>'Reported burning'!A3777</f>
        <v>0</v>
      </c>
      <c r="B3777" s="156">
        <f>'Reported burning'!B3777</f>
        <v>0</v>
      </c>
      <c r="C3777" s="156">
        <f>'Reported burning'!C3777</f>
        <v>0</v>
      </c>
      <c r="D3777" s="156">
        <f>'Reported burning'!D3777</f>
        <v>0</v>
      </c>
      <c r="E3777" s="156">
        <f>'Reported burning'!E3777</f>
        <v>0</v>
      </c>
      <c r="F3777" s="156">
        <f>'Reported burning'!F3777</f>
        <v>0</v>
      </c>
      <c r="G3777" s="156">
        <f>'Reported burning'!G3777</f>
        <v>0</v>
      </c>
      <c r="H3777" s="156">
        <f>'Reported burning'!H3777</f>
        <v>0</v>
      </c>
      <c r="I3777" s="5"/>
    </row>
    <row r="3778" spans="1:9">
      <c r="A3778" s="156">
        <f>'Reported burning'!A3778</f>
        <v>0</v>
      </c>
      <c r="B3778" s="156">
        <f>'Reported burning'!B3778</f>
        <v>0</v>
      </c>
      <c r="C3778" s="156">
        <f>'Reported burning'!C3778</f>
        <v>0</v>
      </c>
      <c r="D3778" s="156">
        <f>'Reported burning'!D3778</f>
        <v>0</v>
      </c>
      <c r="E3778" s="156">
        <f>'Reported burning'!E3778</f>
        <v>0</v>
      </c>
      <c r="F3778" s="156">
        <f>'Reported burning'!F3778</f>
        <v>0</v>
      </c>
      <c r="G3778" s="156">
        <f>'Reported burning'!G3778</f>
        <v>0</v>
      </c>
      <c r="H3778" s="156">
        <f>'Reported burning'!H3778</f>
        <v>0</v>
      </c>
      <c r="I3778" s="5"/>
    </row>
    <row r="3779" spans="1:9">
      <c r="A3779" s="156">
        <f>'Reported burning'!A3779</f>
        <v>0</v>
      </c>
      <c r="B3779" s="156">
        <f>'Reported burning'!B3779</f>
        <v>0</v>
      </c>
      <c r="C3779" s="156">
        <f>'Reported burning'!C3779</f>
        <v>0</v>
      </c>
      <c r="D3779" s="156">
        <f>'Reported burning'!D3779</f>
        <v>0</v>
      </c>
      <c r="E3779" s="156">
        <f>'Reported burning'!E3779</f>
        <v>0</v>
      </c>
      <c r="F3779" s="156">
        <f>'Reported burning'!F3779</f>
        <v>0</v>
      </c>
      <c r="G3779" s="156">
        <f>'Reported burning'!G3779</f>
        <v>0</v>
      </c>
      <c r="H3779" s="156">
        <f>'Reported burning'!H3779</f>
        <v>0</v>
      </c>
      <c r="I3779" s="5"/>
    </row>
    <row r="3780" spans="1:9">
      <c r="A3780" s="156">
        <f>'Reported burning'!A3780</f>
        <v>0</v>
      </c>
      <c r="B3780" s="156">
        <f>'Reported burning'!B3780</f>
        <v>0</v>
      </c>
      <c r="C3780" s="156">
        <f>'Reported burning'!C3780</f>
        <v>0</v>
      </c>
      <c r="D3780" s="156">
        <f>'Reported burning'!D3780</f>
        <v>0</v>
      </c>
      <c r="E3780" s="156">
        <f>'Reported burning'!E3780</f>
        <v>0</v>
      </c>
      <c r="F3780" s="156">
        <f>'Reported burning'!F3780</f>
        <v>0</v>
      </c>
      <c r="G3780" s="156">
        <f>'Reported burning'!G3780</f>
        <v>0</v>
      </c>
      <c r="H3780" s="156">
        <f>'Reported burning'!H3780</f>
        <v>0</v>
      </c>
      <c r="I3780" s="5"/>
    </row>
    <row r="3781" spans="1:9">
      <c r="A3781" s="156">
        <f>'Reported burning'!A3781</f>
        <v>0</v>
      </c>
      <c r="B3781" s="156">
        <f>'Reported burning'!B3781</f>
        <v>0</v>
      </c>
      <c r="C3781" s="156">
        <f>'Reported burning'!C3781</f>
        <v>0</v>
      </c>
      <c r="D3781" s="156">
        <f>'Reported burning'!D3781</f>
        <v>0</v>
      </c>
      <c r="E3781" s="156">
        <f>'Reported burning'!E3781</f>
        <v>0</v>
      </c>
      <c r="F3781" s="156">
        <f>'Reported burning'!F3781</f>
        <v>0</v>
      </c>
      <c r="G3781" s="156">
        <f>'Reported burning'!G3781</f>
        <v>0</v>
      </c>
      <c r="H3781" s="156">
        <f>'Reported burning'!H3781</f>
        <v>0</v>
      </c>
      <c r="I3781" s="5"/>
    </row>
    <row r="3782" spans="1:9">
      <c r="A3782" s="156">
        <f>'Reported burning'!A3782</f>
        <v>0</v>
      </c>
      <c r="B3782" s="156">
        <f>'Reported burning'!B3782</f>
        <v>0</v>
      </c>
      <c r="C3782" s="156">
        <f>'Reported burning'!C3782</f>
        <v>0</v>
      </c>
      <c r="D3782" s="156">
        <f>'Reported burning'!D3782</f>
        <v>0</v>
      </c>
      <c r="E3782" s="156">
        <f>'Reported burning'!E3782</f>
        <v>0</v>
      </c>
      <c r="F3782" s="156">
        <f>'Reported burning'!F3782</f>
        <v>0</v>
      </c>
      <c r="G3782" s="156">
        <f>'Reported burning'!G3782</f>
        <v>0</v>
      </c>
      <c r="H3782" s="156">
        <f>'Reported burning'!H3782</f>
        <v>0</v>
      </c>
      <c r="I3782" s="5"/>
    </row>
    <row r="3783" spans="1:9">
      <c r="A3783" s="156">
        <f>'Reported burning'!A3783</f>
        <v>0</v>
      </c>
      <c r="B3783" s="156">
        <f>'Reported burning'!B3783</f>
        <v>0</v>
      </c>
      <c r="C3783" s="156">
        <f>'Reported burning'!C3783</f>
        <v>0</v>
      </c>
      <c r="D3783" s="156">
        <f>'Reported burning'!D3783</f>
        <v>0</v>
      </c>
      <c r="E3783" s="156">
        <f>'Reported burning'!E3783</f>
        <v>0</v>
      </c>
      <c r="F3783" s="156">
        <f>'Reported burning'!F3783</f>
        <v>0</v>
      </c>
      <c r="G3783" s="156">
        <f>'Reported burning'!G3783</f>
        <v>0</v>
      </c>
      <c r="H3783" s="156">
        <f>'Reported burning'!H3783</f>
        <v>0</v>
      </c>
      <c r="I3783" s="5"/>
    </row>
    <row r="3784" spans="1:9">
      <c r="A3784" s="156">
        <f>'Reported burning'!A3784</f>
        <v>0</v>
      </c>
      <c r="B3784" s="156">
        <f>'Reported burning'!B3784</f>
        <v>0</v>
      </c>
      <c r="C3784" s="156">
        <f>'Reported burning'!C3784</f>
        <v>0</v>
      </c>
      <c r="D3784" s="156">
        <f>'Reported burning'!D3784</f>
        <v>0</v>
      </c>
      <c r="E3784" s="156">
        <f>'Reported burning'!E3784</f>
        <v>0</v>
      </c>
      <c r="F3784" s="156">
        <f>'Reported burning'!F3784</f>
        <v>0</v>
      </c>
      <c r="G3784" s="156">
        <f>'Reported burning'!G3784</f>
        <v>0</v>
      </c>
      <c r="H3784" s="156">
        <f>'Reported burning'!H3784</f>
        <v>0</v>
      </c>
      <c r="I3784" s="5"/>
    </row>
    <row r="3785" spans="1:9">
      <c r="A3785" s="156">
        <f>'Reported burning'!A3785</f>
        <v>0</v>
      </c>
      <c r="B3785" s="156">
        <f>'Reported burning'!B3785</f>
        <v>0</v>
      </c>
      <c r="C3785" s="156">
        <f>'Reported burning'!C3785</f>
        <v>0</v>
      </c>
      <c r="D3785" s="156">
        <f>'Reported burning'!D3785</f>
        <v>0</v>
      </c>
      <c r="E3785" s="156">
        <f>'Reported burning'!E3785</f>
        <v>0</v>
      </c>
      <c r="F3785" s="156">
        <f>'Reported burning'!F3785</f>
        <v>0</v>
      </c>
      <c r="G3785" s="156">
        <f>'Reported burning'!G3785</f>
        <v>0</v>
      </c>
      <c r="H3785" s="156">
        <f>'Reported burning'!H3785</f>
        <v>0</v>
      </c>
      <c r="I3785" s="5"/>
    </row>
    <row r="3786" spans="1:9">
      <c r="A3786" s="156">
        <f>'Reported burning'!A3786</f>
        <v>0</v>
      </c>
      <c r="B3786" s="156">
        <f>'Reported burning'!B3786</f>
        <v>0</v>
      </c>
      <c r="C3786" s="156">
        <f>'Reported burning'!C3786</f>
        <v>0</v>
      </c>
      <c r="D3786" s="156">
        <f>'Reported burning'!D3786</f>
        <v>0</v>
      </c>
      <c r="E3786" s="156">
        <f>'Reported burning'!E3786</f>
        <v>0</v>
      </c>
      <c r="F3786" s="156">
        <f>'Reported burning'!F3786</f>
        <v>0</v>
      </c>
      <c r="G3786" s="156">
        <f>'Reported burning'!G3786</f>
        <v>0</v>
      </c>
      <c r="H3786" s="156">
        <f>'Reported burning'!H3786</f>
        <v>0</v>
      </c>
      <c r="I3786" s="5"/>
    </row>
    <row r="3787" spans="1:9">
      <c r="A3787" s="156">
        <f>'Reported burning'!A3787</f>
        <v>0</v>
      </c>
      <c r="B3787" s="156">
        <f>'Reported burning'!B3787</f>
        <v>0</v>
      </c>
      <c r="C3787" s="156">
        <f>'Reported burning'!C3787</f>
        <v>0</v>
      </c>
      <c r="D3787" s="156">
        <f>'Reported burning'!D3787</f>
        <v>0</v>
      </c>
      <c r="E3787" s="156">
        <f>'Reported burning'!E3787</f>
        <v>0</v>
      </c>
      <c r="F3787" s="156">
        <f>'Reported burning'!F3787</f>
        <v>0</v>
      </c>
      <c r="G3787" s="156">
        <f>'Reported burning'!G3787</f>
        <v>0</v>
      </c>
      <c r="H3787" s="156">
        <f>'Reported burning'!H3787</f>
        <v>0</v>
      </c>
      <c r="I3787" s="5"/>
    </row>
    <row r="3788" spans="1:9">
      <c r="A3788" s="156">
        <f>'Reported burning'!A3788</f>
        <v>0</v>
      </c>
      <c r="B3788" s="156">
        <f>'Reported burning'!B3788</f>
        <v>0</v>
      </c>
      <c r="C3788" s="156">
        <f>'Reported burning'!C3788</f>
        <v>0</v>
      </c>
      <c r="D3788" s="156">
        <f>'Reported burning'!D3788</f>
        <v>0</v>
      </c>
      <c r="E3788" s="156">
        <f>'Reported burning'!E3788</f>
        <v>0</v>
      </c>
      <c r="F3788" s="156">
        <f>'Reported burning'!F3788</f>
        <v>0</v>
      </c>
      <c r="G3788" s="156">
        <f>'Reported burning'!G3788</f>
        <v>0</v>
      </c>
      <c r="H3788" s="156">
        <f>'Reported burning'!H3788</f>
        <v>0</v>
      </c>
      <c r="I3788" s="5"/>
    </row>
    <row r="3789" spans="1:9">
      <c r="A3789" s="156">
        <f>'Reported burning'!A3789</f>
        <v>0</v>
      </c>
      <c r="B3789" s="156">
        <f>'Reported burning'!B3789</f>
        <v>0</v>
      </c>
      <c r="C3789" s="156">
        <f>'Reported burning'!C3789</f>
        <v>0</v>
      </c>
      <c r="D3789" s="156">
        <f>'Reported burning'!D3789</f>
        <v>0</v>
      </c>
      <c r="E3789" s="156">
        <f>'Reported burning'!E3789</f>
        <v>0</v>
      </c>
      <c r="F3789" s="156">
        <f>'Reported burning'!F3789</f>
        <v>0</v>
      </c>
      <c r="G3789" s="156">
        <f>'Reported burning'!G3789</f>
        <v>0</v>
      </c>
      <c r="H3789" s="156">
        <f>'Reported burning'!H3789</f>
        <v>0</v>
      </c>
      <c r="I3789" s="5"/>
    </row>
    <row r="3790" spans="1:9">
      <c r="A3790" s="156">
        <f>'Reported burning'!A3790</f>
        <v>0</v>
      </c>
      <c r="B3790" s="156">
        <f>'Reported burning'!B3790</f>
        <v>0</v>
      </c>
      <c r="C3790" s="156">
        <f>'Reported burning'!C3790</f>
        <v>0</v>
      </c>
      <c r="D3790" s="156">
        <f>'Reported burning'!D3790</f>
        <v>0</v>
      </c>
      <c r="E3790" s="156">
        <f>'Reported burning'!E3790</f>
        <v>0</v>
      </c>
      <c r="F3790" s="156">
        <f>'Reported burning'!F3790</f>
        <v>0</v>
      </c>
      <c r="G3790" s="156">
        <f>'Reported burning'!G3790</f>
        <v>0</v>
      </c>
      <c r="H3790" s="156">
        <f>'Reported burning'!H3790</f>
        <v>0</v>
      </c>
      <c r="I3790" s="5"/>
    </row>
    <row r="3791" spans="1:9">
      <c r="A3791" s="156">
        <f>'Reported burning'!A3791</f>
        <v>0</v>
      </c>
      <c r="B3791" s="156">
        <f>'Reported burning'!B3791</f>
        <v>0</v>
      </c>
      <c r="C3791" s="156">
        <f>'Reported burning'!C3791</f>
        <v>0</v>
      </c>
      <c r="D3791" s="156">
        <f>'Reported burning'!D3791</f>
        <v>0</v>
      </c>
      <c r="E3791" s="156">
        <f>'Reported burning'!E3791</f>
        <v>0</v>
      </c>
      <c r="F3791" s="156">
        <f>'Reported burning'!F3791</f>
        <v>0</v>
      </c>
      <c r="G3791" s="156">
        <f>'Reported burning'!G3791</f>
        <v>0</v>
      </c>
      <c r="H3791" s="156">
        <f>'Reported burning'!H3791</f>
        <v>0</v>
      </c>
      <c r="I3791" s="5"/>
    </row>
    <row r="3792" spans="1:9">
      <c r="A3792" s="156">
        <f>'Reported burning'!A3792</f>
        <v>0</v>
      </c>
      <c r="B3792" s="156">
        <f>'Reported burning'!B3792</f>
        <v>0</v>
      </c>
      <c r="C3792" s="156">
        <f>'Reported burning'!C3792</f>
        <v>0</v>
      </c>
      <c r="D3792" s="156">
        <f>'Reported burning'!D3792</f>
        <v>0</v>
      </c>
      <c r="E3792" s="156">
        <f>'Reported burning'!E3792</f>
        <v>0</v>
      </c>
      <c r="F3792" s="156">
        <f>'Reported burning'!F3792</f>
        <v>0</v>
      </c>
      <c r="G3792" s="156">
        <f>'Reported burning'!G3792</f>
        <v>0</v>
      </c>
      <c r="H3792" s="156">
        <f>'Reported burning'!H3792</f>
        <v>0</v>
      </c>
      <c r="I3792" s="5"/>
    </row>
    <row r="3793" spans="1:9">
      <c r="A3793" s="156">
        <f>'Reported burning'!A3793</f>
        <v>0</v>
      </c>
      <c r="B3793" s="156">
        <f>'Reported burning'!B3793</f>
        <v>0</v>
      </c>
      <c r="C3793" s="156">
        <f>'Reported burning'!C3793</f>
        <v>0</v>
      </c>
      <c r="D3793" s="156">
        <f>'Reported burning'!D3793</f>
        <v>0</v>
      </c>
      <c r="E3793" s="156">
        <f>'Reported burning'!E3793</f>
        <v>0</v>
      </c>
      <c r="F3793" s="156">
        <f>'Reported burning'!F3793</f>
        <v>0</v>
      </c>
      <c r="G3793" s="156">
        <f>'Reported burning'!G3793</f>
        <v>0</v>
      </c>
      <c r="H3793" s="156">
        <f>'Reported burning'!H3793</f>
        <v>0</v>
      </c>
      <c r="I3793" s="5"/>
    </row>
    <row r="3794" spans="1:9">
      <c r="A3794" s="156">
        <f>'Reported burning'!A3794</f>
        <v>0</v>
      </c>
      <c r="B3794" s="156">
        <f>'Reported burning'!B3794</f>
        <v>0</v>
      </c>
      <c r="C3794" s="156">
        <f>'Reported burning'!C3794</f>
        <v>0</v>
      </c>
      <c r="D3794" s="156">
        <f>'Reported burning'!D3794</f>
        <v>0</v>
      </c>
      <c r="E3794" s="156">
        <f>'Reported burning'!E3794</f>
        <v>0</v>
      </c>
      <c r="F3794" s="156">
        <f>'Reported burning'!F3794</f>
        <v>0</v>
      </c>
      <c r="G3794" s="156">
        <f>'Reported burning'!G3794</f>
        <v>0</v>
      </c>
      <c r="H3794" s="156">
        <f>'Reported burning'!H3794</f>
        <v>0</v>
      </c>
      <c r="I3794" s="5"/>
    </row>
    <row r="3795" spans="1:9">
      <c r="A3795" s="156">
        <f>'Reported burning'!A3795</f>
        <v>0</v>
      </c>
      <c r="B3795" s="156">
        <f>'Reported burning'!B3795</f>
        <v>0</v>
      </c>
      <c r="C3795" s="156">
        <f>'Reported burning'!C3795</f>
        <v>0</v>
      </c>
      <c r="D3795" s="156">
        <f>'Reported burning'!D3795</f>
        <v>0</v>
      </c>
      <c r="E3795" s="156">
        <f>'Reported burning'!E3795</f>
        <v>0</v>
      </c>
      <c r="F3795" s="156">
        <f>'Reported burning'!F3795</f>
        <v>0</v>
      </c>
      <c r="G3795" s="156">
        <f>'Reported burning'!G3795</f>
        <v>0</v>
      </c>
      <c r="H3795" s="156">
        <f>'Reported burning'!H3795</f>
        <v>0</v>
      </c>
      <c r="I3795" s="5"/>
    </row>
    <row r="3796" spans="1:9">
      <c r="A3796" s="156">
        <f>'Reported burning'!A3796</f>
        <v>0</v>
      </c>
      <c r="B3796" s="156">
        <f>'Reported burning'!B3796</f>
        <v>0</v>
      </c>
      <c r="C3796" s="156">
        <f>'Reported burning'!C3796</f>
        <v>0</v>
      </c>
      <c r="D3796" s="156">
        <f>'Reported burning'!D3796</f>
        <v>0</v>
      </c>
      <c r="E3796" s="156">
        <f>'Reported burning'!E3796</f>
        <v>0</v>
      </c>
      <c r="F3796" s="156">
        <f>'Reported burning'!F3796</f>
        <v>0</v>
      </c>
      <c r="G3796" s="156">
        <f>'Reported burning'!G3796</f>
        <v>0</v>
      </c>
      <c r="H3796" s="156">
        <f>'Reported burning'!H3796</f>
        <v>0</v>
      </c>
      <c r="I3796" s="5"/>
    </row>
    <row r="3797" spans="1:9">
      <c r="A3797" s="156">
        <f>'Reported burning'!A3797</f>
        <v>0</v>
      </c>
      <c r="B3797" s="156">
        <f>'Reported burning'!B3797</f>
        <v>0</v>
      </c>
      <c r="C3797" s="156">
        <f>'Reported burning'!C3797</f>
        <v>0</v>
      </c>
      <c r="D3797" s="156">
        <f>'Reported burning'!D3797</f>
        <v>0</v>
      </c>
      <c r="E3797" s="156">
        <f>'Reported burning'!E3797</f>
        <v>0</v>
      </c>
      <c r="F3797" s="156">
        <f>'Reported burning'!F3797</f>
        <v>0</v>
      </c>
      <c r="G3797" s="156">
        <f>'Reported burning'!G3797</f>
        <v>0</v>
      </c>
      <c r="H3797" s="156">
        <f>'Reported burning'!H3797</f>
        <v>0</v>
      </c>
      <c r="I3797" s="5"/>
    </row>
    <row r="3798" spans="1:9">
      <c r="A3798" s="156">
        <f>'Reported burning'!A3798</f>
        <v>0</v>
      </c>
      <c r="B3798" s="156">
        <f>'Reported burning'!B3798</f>
        <v>0</v>
      </c>
      <c r="C3798" s="156">
        <f>'Reported burning'!C3798</f>
        <v>0</v>
      </c>
      <c r="D3798" s="156">
        <f>'Reported burning'!D3798</f>
        <v>0</v>
      </c>
      <c r="E3798" s="156">
        <f>'Reported burning'!E3798</f>
        <v>0</v>
      </c>
      <c r="F3798" s="156">
        <f>'Reported burning'!F3798</f>
        <v>0</v>
      </c>
      <c r="G3798" s="156">
        <f>'Reported burning'!G3798</f>
        <v>0</v>
      </c>
      <c r="H3798" s="156">
        <f>'Reported burning'!H3798</f>
        <v>0</v>
      </c>
      <c r="I3798" s="5"/>
    </row>
    <row r="3799" spans="1:9">
      <c r="A3799" s="156">
        <f>'Reported burning'!A3799</f>
        <v>0</v>
      </c>
      <c r="B3799" s="156">
        <f>'Reported burning'!B3799</f>
        <v>0</v>
      </c>
      <c r="C3799" s="156">
        <f>'Reported burning'!C3799</f>
        <v>0</v>
      </c>
      <c r="D3799" s="156">
        <f>'Reported burning'!D3799</f>
        <v>0</v>
      </c>
      <c r="E3799" s="156">
        <f>'Reported burning'!E3799</f>
        <v>0</v>
      </c>
      <c r="F3799" s="156">
        <f>'Reported burning'!F3799</f>
        <v>0</v>
      </c>
      <c r="G3799" s="156">
        <f>'Reported burning'!G3799</f>
        <v>0</v>
      </c>
      <c r="H3799" s="156">
        <f>'Reported burning'!H3799</f>
        <v>0</v>
      </c>
      <c r="I3799" s="5"/>
    </row>
    <row r="3800" spans="1:9">
      <c r="A3800" s="156">
        <f>'Reported burning'!A3800</f>
        <v>0</v>
      </c>
      <c r="B3800" s="156">
        <f>'Reported burning'!B3800</f>
        <v>0</v>
      </c>
      <c r="C3800" s="156">
        <f>'Reported burning'!C3800</f>
        <v>0</v>
      </c>
      <c r="D3800" s="156">
        <f>'Reported burning'!D3800</f>
        <v>0</v>
      </c>
      <c r="E3800" s="156">
        <f>'Reported burning'!E3800</f>
        <v>0</v>
      </c>
      <c r="F3800" s="156">
        <f>'Reported burning'!F3800</f>
        <v>0</v>
      </c>
      <c r="G3800" s="156">
        <f>'Reported burning'!G3800</f>
        <v>0</v>
      </c>
      <c r="H3800" s="156">
        <f>'Reported burning'!H3800</f>
        <v>0</v>
      </c>
      <c r="I3800" s="5"/>
    </row>
    <row r="3801" spans="1:9">
      <c r="A3801" s="156">
        <f>'Reported burning'!A3801</f>
        <v>0</v>
      </c>
      <c r="B3801" s="156">
        <f>'Reported burning'!B3801</f>
        <v>0</v>
      </c>
      <c r="C3801" s="156">
        <f>'Reported burning'!C3801</f>
        <v>0</v>
      </c>
      <c r="D3801" s="156">
        <f>'Reported burning'!D3801</f>
        <v>0</v>
      </c>
      <c r="E3801" s="156">
        <f>'Reported burning'!E3801</f>
        <v>0</v>
      </c>
      <c r="F3801" s="156">
        <f>'Reported burning'!F3801</f>
        <v>0</v>
      </c>
      <c r="G3801" s="156">
        <f>'Reported burning'!G3801</f>
        <v>0</v>
      </c>
      <c r="H3801" s="156">
        <f>'Reported burning'!H3801</f>
        <v>0</v>
      </c>
      <c r="I3801" s="5"/>
    </row>
    <row r="3802" spans="1:9">
      <c r="A3802" s="156">
        <f>'Reported burning'!A3802</f>
        <v>0</v>
      </c>
      <c r="B3802" s="156">
        <f>'Reported burning'!B3802</f>
        <v>0</v>
      </c>
      <c r="C3802" s="156">
        <f>'Reported burning'!C3802</f>
        <v>0</v>
      </c>
      <c r="D3802" s="156">
        <f>'Reported burning'!D3802</f>
        <v>0</v>
      </c>
      <c r="E3802" s="156">
        <f>'Reported burning'!E3802</f>
        <v>0</v>
      </c>
      <c r="F3802" s="156">
        <f>'Reported burning'!F3802</f>
        <v>0</v>
      </c>
      <c r="G3802" s="156">
        <f>'Reported burning'!G3802</f>
        <v>0</v>
      </c>
      <c r="H3802" s="156">
        <f>'Reported burning'!H3802</f>
        <v>0</v>
      </c>
      <c r="I3802" s="5"/>
    </row>
    <row r="3803" spans="1:9">
      <c r="A3803" s="156">
        <f>'Reported burning'!A3803</f>
        <v>0</v>
      </c>
      <c r="B3803" s="156">
        <f>'Reported burning'!B3803</f>
        <v>0</v>
      </c>
      <c r="C3803" s="156">
        <f>'Reported burning'!C3803</f>
        <v>0</v>
      </c>
      <c r="D3803" s="156">
        <f>'Reported burning'!D3803</f>
        <v>0</v>
      </c>
      <c r="E3803" s="156">
        <f>'Reported burning'!E3803</f>
        <v>0</v>
      </c>
      <c r="F3803" s="156">
        <f>'Reported burning'!F3803</f>
        <v>0</v>
      </c>
      <c r="G3803" s="156">
        <f>'Reported burning'!G3803</f>
        <v>0</v>
      </c>
      <c r="H3803" s="156">
        <f>'Reported burning'!H3803</f>
        <v>0</v>
      </c>
      <c r="I3803" s="5"/>
    </row>
    <row r="3804" spans="1:9">
      <c r="A3804" s="156">
        <f>'Reported burning'!A3804</f>
        <v>0</v>
      </c>
      <c r="B3804" s="156">
        <f>'Reported burning'!B3804</f>
        <v>0</v>
      </c>
      <c r="C3804" s="156">
        <f>'Reported burning'!C3804</f>
        <v>0</v>
      </c>
      <c r="D3804" s="156">
        <f>'Reported burning'!D3804</f>
        <v>0</v>
      </c>
      <c r="E3804" s="156">
        <f>'Reported burning'!E3804</f>
        <v>0</v>
      </c>
      <c r="F3804" s="156">
        <f>'Reported burning'!F3804</f>
        <v>0</v>
      </c>
      <c r="G3804" s="156">
        <f>'Reported burning'!G3804</f>
        <v>0</v>
      </c>
      <c r="H3804" s="156">
        <f>'Reported burning'!H3804</f>
        <v>0</v>
      </c>
      <c r="I3804" s="5"/>
    </row>
    <row r="3805" spans="1:9">
      <c r="A3805" s="156">
        <f>'Reported burning'!A3805</f>
        <v>0</v>
      </c>
      <c r="B3805" s="156">
        <f>'Reported burning'!B3805</f>
        <v>0</v>
      </c>
      <c r="C3805" s="156">
        <f>'Reported burning'!C3805</f>
        <v>0</v>
      </c>
      <c r="D3805" s="156">
        <f>'Reported burning'!D3805</f>
        <v>0</v>
      </c>
      <c r="E3805" s="156">
        <f>'Reported burning'!E3805</f>
        <v>0</v>
      </c>
      <c r="F3805" s="156">
        <f>'Reported burning'!F3805</f>
        <v>0</v>
      </c>
      <c r="G3805" s="156">
        <f>'Reported burning'!G3805</f>
        <v>0</v>
      </c>
      <c r="H3805" s="156">
        <f>'Reported burning'!H3805</f>
        <v>0</v>
      </c>
      <c r="I3805" s="5"/>
    </row>
    <row r="3806" spans="1:9">
      <c r="A3806" s="156">
        <f>'Reported burning'!A3806</f>
        <v>0</v>
      </c>
      <c r="B3806" s="156">
        <f>'Reported burning'!B3806</f>
        <v>0</v>
      </c>
      <c r="C3806" s="156">
        <f>'Reported burning'!C3806</f>
        <v>0</v>
      </c>
      <c r="D3806" s="156">
        <f>'Reported burning'!D3806</f>
        <v>0</v>
      </c>
      <c r="E3806" s="156">
        <f>'Reported burning'!E3806</f>
        <v>0</v>
      </c>
      <c r="F3806" s="156">
        <f>'Reported burning'!F3806</f>
        <v>0</v>
      </c>
      <c r="G3806" s="156">
        <f>'Reported burning'!G3806</f>
        <v>0</v>
      </c>
      <c r="H3806" s="156">
        <f>'Reported burning'!H3806</f>
        <v>0</v>
      </c>
      <c r="I3806" s="5"/>
    </row>
    <row r="3807" spans="1:9">
      <c r="A3807" s="156">
        <f>'Reported burning'!A3807</f>
        <v>0</v>
      </c>
      <c r="B3807" s="156">
        <f>'Reported burning'!B3807</f>
        <v>0</v>
      </c>
      <c r="C3807" s="156">
        <f>'Reported burning'!C3807</f>
        <v>0</v>
      </c>
      <c r="D3807" s="156">
        <f>'Reported burning'!D3807</f>
        <v>0</v>
      </c>
      <c r="E3807" s="156">
        <f>'Reported burning'!E3807</f>
        <v>0</v>
      </c>
      <c r="F3807" s="156">
        <f>'Reported burning'!F3807</f>
        <v>0</v>
      </c>
      <c r="G3807" s="156">
        <f>'Reported burning'!G3807</f>
        <v>0</v>
      </c>
      <c r="H3807" s="156">
        <f>'Reported burning'!H3807</f>
        <v>0</v>
      </c>
      <c r="I3807" s="5"/>
    </row>
    <row r="3808" spans="1:9">
      <c r="A3808" s="156">
        <f>'Reported burning'!A3808</f>
        <v>0</v>
      </c>
      <c r="B3808" s="156">
        <f>'Reported burning'!B3808</f>
        <v>0</v>
      </c>
      <c r="C3808" s="156">
        <f>'Reported burning'!C3808</f>
        <v>0</v>
      </c>
      <c r="D3808" s="156">
        <f>'Reported burning'!D3808</f>
        <v>0</v>
      </c>
      <c r="E3808" s="156">
        <f>'Reported burning'!E3808</f>
        <v>0</v>
      </c>
      <c r="F3808" s="156">
        <f>'Reported burning'!F3808</f>
        <v>0</v>
      </c>
      <c r="G3808" s="156">
        <f>'Reported burning'!G3808</f>
        <v>0</v>
      </c>
      <c r="H3808" s="156">
        <f>'Reported burning'!H3808</f>
        <v>0</v>
      </c>
      <c r="I3808" s="5"/>
    </row>
    <row r="3809" spans="1:9">
      <c r="A3809" s="156">
        <f>'Reported burning'!A3809</f>
        <v>0</v>
      </c>
      <c r="B3809" s="156">
        <f>'Reported burning'!B3809</f>
        <v>0</v>
      </c>
      <c r="C3809" s="156">
        <f>'Reported burning'!C3809</f>
        <v>0</v>
      </c>
      <c r="D3809" s="156">
        <f>'Reported burning'!D3809</f>
        <v>0</v>
      </c>
      <c r="E3809" s="156">
        <f>'Reported burning'!E3809</f>
        <v>0</v>
      </c>
      <c r="F3809" s="156">
        <f>'Reported burning'!F3809</f>
        <v>0</v>
      </c>
      <c r="G3809" s="156">
        <f>'Reported burning'!G3809</f>
        <v>0</v>
      </c>
      <c r="H3809" s="156">
        <f>'Reported burning'!H3809</f>
        <v>0</v>
      </c>
      <c r="I3809" s="5"/>
    </row>
    <row r="3810" spans="1:9">
      <c r="A3810" s="156">
        <f>'Reported burning'!A3810</f>
        <v>0</v>
      </c>
      <c r="B3810" s="156">
        <f>'Reported burning'!B3810</f>
        <v>0</v>
      </c>
      <c r="C3810" s="156">
        <f>'Reported burning'!C3810</f>
        <v>0</v>
      </c>
      <c r="D3810" s="156">
        <f>'Reported burning'!D3810</f>
        <v>0</v>
      </c>
      <c r="E3810" s="156">
        <f>'Reported burning'!E3810</f>
        <v>0</v>
      </c>
      <c r="F3810" s="156">
        <f>'Reported burning'!F3810</f>
        <v>0</v>
      </c>
      <c r="G3810" s="156">
        <f>'Reported burning'!G3810</f>
        <v>0</v>
      </c>
      <c r="H3810" s="156">
        <f>'Reported burning'!H3810</f>
        <v>0</v>
      </c>
      <c r="I3810" s="5"/>
    </row>
    <row r="3811" spans="1:9">
      <c r="A3811" s="156">
        <f>'Reported burning'!A3811</f>
        <v>0</v>
      </c>
      <c r="B3811" s="156">
        <f>'Reported burning'!B3811</f>
        <v>0</v>
      </c>
      <c r="C3811" s="156">
        <f>'Reported burning'!C3811</f>
        <v>0</v>
      </c>
      <c r="D3811" s="156">
        <f>'Reported burning'!D3811</f>
        <v>0</v>
      </c>
      <c r="E3811" s="156">
        <f>'Reported burning'!E3811</f>
        <v>0</v>
      </c>
      <c r="F3811" s="156">
        <f>'Reported burning'!F3811</f>
        <v>0</v>
      </c>
      <c r="G3811" s="156">
        <f>'Reported burning'!G3811</f>
        <v>0</v>
      </c>
      <c r="H3811" s="156">
        <f>'Reported burning'!H3811</f>
        <v>0</v>
      </c>
      <c r="I3811" s="5"/>
    </row>
    <row r="3812" spans="1:9">
      <c r="A3812" s="156">
        <f>'Reported burning'!A3812</f>
        <v>0</v>
      </c>
      <c r="B3812" s="156">
        <f>'Reported burning'!B3812</f>
        <v>0</v>
      </c>
      <c r="C3812" s="156">
        <f>'Reported burning'!C3812</f>
        <v>0</v>
      </c>
      <c r="D3812" s="156">
        <f>'Reported burning'!D3812</f>
        <v>0</v>
      </c>
      <c r="E3812" s="156">
        <f>'Reported burning'!E3812</f>
        <v>0</v>
      </c>
      <c r="F3812" s="156">
        <f>'Reported burning'!F3812</f>
        <v>0</v>
      </c>
      <c r="G3812" s="156">
        <f>'Reported burning'!G3812</f>
        <v>0</v>
      </c>
      <c r="H3812" s="156">
        <f>'Reported burning'!H3812</f>
        <v>0</v>
      </c>
      <c r="I3812" s="5"/>
    </row>
    <row r="3813" spans="1:9">
      <c r="A3813" s="156">
        <f>'Reported burning'!A3813</f>
        <v>0</v>
      </c>
      <c r="B3813" s="156">
        <f>'Reported burning'!B3813</f>
        <v>0</v>
      </c>
      <c r="C3813" s="156">
        <f>'Reported burning'!C3813</f>
        <v>0</v>
      </c>
      <c r="D3813" s="156">
        <f>'Reported burning'!D3813</f>
        <v>0</v>
      </c>
      <c r="E3813" s="156">
        <f>'Reported burning'!E3813</f>
        <v>0</v>
      </c>
      <c r="F3813" s="156">
        <f>'Reported burning'!F3813</f>
        <v>0</v>
      </c>
      <c r="G3813" s="156">
        <f>'Reported burning'!G3813</f>
        <v>0</v>
      </c>
      <c r="H3813" s="156">
        <f>'Reported burning'!H3813</f>
        <v>0</v>
      </c>
      <c r="I3813" s="5"/>
    </row>
    <row r="3814" spans="1:9">
      <c r="A3814" s="156">
        <f>'Reported burning'!A3814</f>
        <v>0</v>
      </c>
      <c r="B3814" s="156">
        <f>'Reported burning'!B3814</f>
        <v>0</v>
      </c>
      <c r="C3814" s="156">
        <f>'Reported burning'!C3814</f>
        <v>0</v>
      </c>
      <c r="D3814" s="156">
        <f>'Reported burning'!D3814</f>
        <v>0</v>
      </c>
      <c r="E3814" s="156">
        <f>'Reported burning'!E3814</f>
        <v>0</v>
      </c>
      <c r="F3814" s="156">
        <f>'Reported burning'!F3814</f>
        <v>0</v>
      </c>
      <c r="G3814" s="156">
        <f>'Reported burning'!G3814</f>
        <v>0</v>
      </c>
      <c r="H3814" s="156">
        <f>'Reported burning'!H3814</f>
        <v>0</v>
      </c>
      <c r="I3814" s="5"/>
    </row>
    <row r="3815" spans="1:9">
      <c r="A3815" s="156">
        <f>'Reported burning'!A3815</f>
        <v>0</v>
      </c>
      <c r="B3815" s="156">
        <f>'Reported burning'!B3815</f>
        <v>0</v>
      </c>
      <c r="C3815" s="156">
        <f>'Reported burning'!C3815</f>
        <v>0</v>
      </c>
      <c r="D3815" s="156">
        <f>'Reported burning'!D3815</f>
        <v>0</v>
      </c>
      <c r="E3815" s="156">
        <f>'Reported burning'!E3815</f>
        <v>0</v>
      </c>
      <c r="F3815" s="156">
        <f>'Reported burning'!F3815</f>
        <v>0</v>
      </c>
      <c r="G3815" s="156">
        <f>'Reported burning'!G3815</f>
        <v>0</v>
      </c>
      <c r="H3815" s="156">
        <f>'Reported burning'!H3815</f>
        <v>0</v>
      </c>
      <c r="I3815" s="5"/>
    </row>
    <row r="3816" spans="1:9">
      <c r="A3816" s="156">
        <f>'Reported burning'!A3816</f>
        <v>0</v>
      </c>
      <c r="B3816" s="156">
        <f>'Reported burning'!B3816</f>
        <v>0</v>
      </c>
      <c r="C3816" s="156">
        <f>'Reported burning'!C3816</f>
        <v>0</v>
      </c>
      <c r="D3816" s="156">
        <f>'Reported burning'!D3816</f>
        <v>0</v>
      </c>
      <c r="E3816" s="156">
        <f>'Reported burning'!E3816</f>
        <v>0</v>
      </c>
      <c r="F3816" s="156">
        <f>'Reported burning'!F3816</f>
        <v>0</v>
      </c>
      <c r="G3816" s="156">
        <f>'Reported burning'!G3816</f>
        <v>0</v>
      </c>
      <c r="H3816" s="156">
        <f>'Reported burning'!H3816</f>
        <v>0</v>
      </c>
      <c r="I3816" s="5"/>
    </row>
    <row r="3817" spans="1:9">
      <c r="A3817" s="156">
        <f>'Reported burning'!A3817</f>
        <v>0</v>
      </c>
      <c r="B3817" s="156">
        <f>'Reported burning'!B3817</f>
        <v>0</v>
      </c>
      <c r="C3817" s="156">
        <f>'Reported burning'!C3817</f>
        <v>0</v>
      </c>
      <c r="D3817" s="156">
        <f>'Reported burning'!D3817</f>
        <v>0</v>
      </c>
      <c r="E3817" s="156">
        <f>'Reported burning'!E3817</f>
        <v>0</v>
      </c>
      <c r="F3817" s="156">
        <f>'Reported burning'!F3817</f>
        <v>0</v>
      </c>
      <c r="G3817" s="156">
        <f>'Reported burning'!G3817</f>
        <v>0</v>
      </c>
      <c r="H3817" s="156">
        <f>'Reported burning'!H3817</f>
        <v>0</v>
      </c>
      <c r="I3817" s="5"/>
    </row>
    <row r="3818" spans="1:9">
      <c r="A3818" s="156">
        <f>'Reported burning'!A3818</f>
        <v>0</v>
      </c>
      <c r="B3818" s="156">
        <f>'Reported burning'!B3818</f>
        <v>0</v>
      </c>
      <c r="C3818" s="156">
        <f>'Reported burning'!C3818</f>
        <v>0</v>
      </c>
      <c r="D3818" s="156">
        <f>'Reported burning'!D3818</f>
        <v>0</v>
      </c>
      <c r="E3818" s="156">
        <f>'Reported burning'!E3818</f>
        <v>0</v>
      </c>
      <c r="F3818" s="156">
        <f>'Reported burning'!F3818</f>
        <v>0</v>
      </c>
      <c r="G3818" s="156">
        <f>'Reported burning'!G3818</f>
        <v>0</v>
      </c>
      <c r="H3818" s="156">
        <f>'Reported burning'!H3818</f>
        <v>0</v>
      </c>
      <c r="I3818" s="5"/>
    </row>
    <row r="3819" spans="1:9">
      <c r="A3819" s="156">
        <f>'Reported burning'!A3819</f>
        <v>0</v>
      </c>
      <c r="B3819" s="156">
        <f>'Reported burning'!B3819</f>
        <v>0</v>
      </c>
      <c r="C3819" s="156">
        <f>'Reported burning'!C3819</f>
        <v>0</v>
      </c>
      <c r="D3819" s="156">
        <f>'Reported burning'!D3819</f>
        <v>0</v>
      </c>
      <c r="E3819" s="156">
        <f>'Reported burning'!E3819</f>
        <v>0</v>
      </c>
      <c r="F3819" s="156">
        <f>'Reported burning'!F3819</f>
        <v>0</v>
      </c>
      <c r="G3819" s="156">
        <f>'Reported burning'!G3819</f>
        <v>0</v>
      </c>
      <c r="H3819" s="156">
        <f>'Reported burning'!H3819</f>
        <v>0</v>
      </c>
      <c r="I3819" s="5"/>
    </row>
    <row r="3820" spans="1:9">
      <c r="A3820" s="156">
        <f>'Reported burning'!A3820</f>
        <v>0</v>
      </c>
      <c r="B3820" s="156">
        <f>'Reported burning'!B3820</f>
        <v>0</v>
      </c>
      <c r="C3820" s="156">
        <f>'Reported burning'!C3820</f>
        <v>0</v>
      </c>
      <c r="D3820" s="156">
        <f>'Reported burning'!D3820</f>
        <v>0</v>
      </c>
      <c r="E3820" s="156">
        <f>'Reported burning'!E3820</f>
        <v>0</v>
      </c>
      <c r="F3820" s="156">
        <f>'Reported burning'!F3820</f>
        <v>0</v>
      </c>
      <c r="G3820" s="156">
        <f>'Reported burning'!G3820</f>
        <v>0</v>
      </c>
      <c r="H3820" s="156">
        <f>'Reported burning'!H3820</f>
        <v>0</v>
      </c>
      <c r="I3820" s="5"/>
    </row>
    <row r="3821" spans="1:9">
      <c r="A3821" s="156">
        <f>'Reported burning'!A3821</f>
        <v>0</v>
      </c>
      <c r="B3821" s="156">
        <f>'Reported burning'!B3821</f>
        <v>0</v>
      </c>
      <c r="C3821" s="156">
        <f>'Reported burning'!C3821</f>
        <v>0</v>
      </c>
      <c r="D3821" s="156">
        <f>'Reported burning'!D3821</f>
        <v>0</v>
      </c>
      <c r="E3821" s="156">
        <f>'Reported burning'!E3821</f>
        <v>0</v>
      </c>
      <c r="F3821" s="156">
        <f>'Reported burning'!F3821</f>
        <v>0</v>
      </c>
      <c r="G3821" s="156">
        <f>'Reported burning'!G3821</f>
        <v>0</v>
      </c>
      <c r="H3821" s="156">
        <f>'Reported burning'!H3821</f>
        <v>0</v>
      </c>
      <c r="I3821" s="5"/>
    </row>
    <row r="3822" spans="1:9">
      <c r="A3822" s="156">
        <f>'Reported burning'!A3822</f>
        <v>0</v>
      </c>
      <c r="B3822" s="156">
        <f>'Reported burning'!B3822</f>
        <v>0</v>
      </c>
      <c r="C3822" s="156">
        <f>'Reported burning'!C3822</f>
        <v>0</v>
      </c>
      <c r="D3822" s="156">
        <f>'Reported burning'!D3822</f>
        <v>0</v>
      </c>
      <c r="E3822" s="156">
        <f>'Reported burning'!E3822</f>
        <v>0</v>
      </c>
      <c r="F3822" s="156">
        <f>'Reported burning'!F3822</f>
        <v>0</v>
      </c>
      <c r="G3822" s="156">
        <f>'Reported burning'!G3822</f>
        <v>0</v>
      </c>
      <c r="H3822" s="156">
        <f>'Reported burning'!H3822</f>
        <v>0</v>
      </c>
      <c r="I3822" s="5"/>
    </row>
    <row r="3823" spans="1:9">
      <c r="A3823" s="156">
        <f>'Reported burning'!A3823</f>
        <v>0</v>
      </c>
      <c r="B3823" s="156">
        <f>'Reported burning'!B3823</f>
        <v>0</v>
      </c>
      <c r="C3823" s="156">
        <f>'Reported burning'!C3823</f>
        <v>0</v>
      </c>
      <c r="D3823" s="156">
        <f>'Reported burning'!D3823</f>
        <v>0</v>
      </c>
      <c r="E3823" s="156">
        <f>'Reported burning'!E3823</f>
        <v>0</v>
      </c>
      <c r="F3823" s="156">
        <f>'Reported burning'!F3823</f>
        <v>0</v>
      </c>
      <c r="G3823" s="156">
        <f>'Reported burning'!G3823</f>
        <v>0</v>
      </c>
      <c r="H3823" s="156">
        <f>'Reported burning'!H3823</f>
        <v>0</v>
      </c>
      <c r="I3823" s="5"/>
    </row>
    <row r="3824" spans="1:9">
      <c r="A3824" s="156">
        <f>'Reported burning'!A3824</f>
        <v>0</v>
      </c>
      <c r="B3824" s="156">
        <f>'Reported burning'!B3824</f>
        <v>0</v>
      </c>
      <c r="C3824" s="156">
        <f>'Reported burning'!C3824</f>
        <v>0</v>
      </c>
      <c r="D3824" s="156">
        <f>'Reported burning'!D3824</f>
        <v>0</v>
      </c>
      <c r="E3824" s="156">
        <f>'Reported burning'!E3824</f>
        <v>0</v>
      </c>
      <c r="F3824" s="156">
        <f>'Reported burning'!F3824</f>
        <v>0</v>
      </c>
      <c r="G3824" s="156">
        <f>'Reported burning'!G3824</f>
        <v>0</v>
      </c>
      <c r="H3824" s="156">
        <f>'Reported burning'!H3824</f>
        <v>0</v>
      </c>
      <c r="I3824" s="5"/>
    </row>
    <row r="3825" spans="1:9">
      <c r="A3825" s="156">
        <f>'Reported burning'!A3825</f>
        <v>0</v>
      </c>
      <c r="B3825" s="156">
        <f>'Reported burning'!B3825</f>
        <v>0</v>
      </c>
      <c r="C3825" s="156">
        <f>'Reported burning'!C3825</f>
        <v>0</v>
      </c>
      <c r="D3825" s="156">
        <f>'Reported burning'!D3825</f>
        <v>0</v>
      </c>
      <c r="E3825" s="156">
        <f>'Reported burning'!E3825</f>
        <v>0</v>
      </c>
      <c r="F3825" s="156">
        <f>'Reported burning'!F3825</f>
        <v>0</v>
      </c>
      <c r="G3825" s="156">
        <f>'Reported burning'!G3825</f>
        <v>0</v>
      </c>
      <c r="H3825" s="156">
        <f>'Reported burning'!H3825</f>
        <v>0</v>
      </c>
      <c r="I3825" s="5"/>
    </row>
    <row r="3826" spans="1:9">
      <c r="A3826" s="156">
        <f>'Reported burning'!A3826</f>
        <v>0</v>
      </c>
      <c r="B3826" s="156">
        <f>'Reported burning'!B3826</f>
        <v>0</v>
      </c>
      <c r="C3826" s="156">
        <f>'Reported burning'!C3826</f>
        <v>0</v>
      </c>
      <c r="D3826" s="156">
        <f>'Reported burning'!D3826</f>
        <v>0</v>
      </c>
      <c r="E3826" s="156">
        <f>'Reported burning'!E3826</f>
        <v>0</v>
      </c>
      <c r="F3826" s="156">
        <f>'Reported burning'!F3826</f>
        <v>0</v>
      </c>
      <c r="G3826" s="156">
        <f>'Reported burning'!G3826</f>
        <v>0</v>
      </c>
      <c r="H3826" s="156">
        <f>'Reported burning'!H3826</f>
        <v>0</v>
      </c>
      <c r="I3826" s="5"/>
    </row>
    <row r="3827" spans="1:9">
      <c r="A3827" s="156">
        <f>'Reported burning'!A3827</f>
        <v>0</v>
      </c>
      <c r="B3827" s="156">
        <f>'Reported burning'!B3827</f>
        <v>0</v>
      </c>
      <c r="C3827" s="156">
        <f>'Reported burning'!C3827</f>
        <v>0</v>
      </c>
      <c r="D3827" s="156">
        <f>'Reported burning'!D3827</f>
        <v>0</v>
      </c>
      <c r="E3827" s="156">
        <f>'Reported burning'!E3827</f>
        <v>0</v>
      </c>
      <c r="F3827" s="156">
        <f>'Reported burning'!F3827</f>
        <v>0</v>
      </c>
      <c r="G3827" s="156">
        <f>'Reported burning'!G3827</f>
        <v>0</v>
      </c>
      <c r="H3827" s="156">
        <f>'Reported burning'!H3827</f>
        <v>0</v>
      </c>
      <c r="I3827" s="5"/>
    </row>
    <row r="3828" spans="1:9">
      <c r="A3828" s="156">
        <f>'Reported burning'!A3828</f>
        <v>0</v>
      </c>
      <c r="B3828" s="156">
        <f>'Reported burning'!B3828</f>
        <v>0</v>
      </c>
      <c r="C3828" s="156">
        <f>'Reported burning'!C3828</f>
        <v>0</v>
      </c>
      <c r="D3828" s="156">
        <f>'Reported burning'!D3828</f>
        <v>0</v>
      </c>
      <c r="E3828" s="156">
        <f>'Reported burning'!E3828</f>
        <v>0</v>
      </c>
      <c r="F3828" s="156">
        <f>'Reported burning'!F3828</f>
        <v>0</v>
      </c>
      <c r="G3828" s="156">
        <f>'Reported burning'!G3828</f>
        <v>0</v>
      </c>
      <c r="H3828" s="156">
        <f>'Reported burning'!H3828</f>
        <v>0</v>
      </c>
      <c r="I3828" s="5"/>
    </row>
    <row r="3829" spans="1:9">
      <c r="A3829" s="156">
        <f>'Reported burning'!A3829</f>
        <v>0</v>
      </c>
      <c r="B3829" s="156">
        <f>'Reported burning'!B3829</f>
        <v>0</v>
      </c>
      <c r="C3829" s="156">
        <f>'Reported burning'!C3829</f>
        <v>0</v>
      </c>
      <c r="D3829" s="156">
        <f>'Reported burning'!D3829</f>
        <v>0</v>
      </c>
      <c r="E3829" s="156">
        <f>'Reported burning'!E3829</f>
        <v>0</v>
      </c>
      <c r="F3829" s="156">
        <f>'Reported burning'!F3829</f>
        <v>0</v>
      </c>
      <c r="G3829" s="156">
        <f>'Reported burning'!G3829</f>
        <v>0</v>
      </c>
      <c r="H3829" s="156">
        <f>'Reported burning'!H3829</f>
        <v>0</v>
      </c>
      <c r="I3829" s="5"/>
    </row>
    <row r="3830" spans="1:9">
      <c r="A3830" s="156">
        <f>'Reported burning'!A3830</f>
        <v>0</v>
      </c>
      <c r="B3830" s="156">
        <f>'Reported burning'!B3830</f>
        <v>0</v>
      </c>
      <c r="C3830" s="156">
        <f>'Reported burning'!C3830</f>
        <v>0</v>
      </c>
      <c r="D3830" s="156">
        <f>'Reported burning'!D3830</f>
        <v>0</v>
      </c>
      <c r="E3830" s="156">
        <f>'Reported burning'!E3830</f>
        <v>0</v>
      </c>
      <c r="F3830" s="156">
        <f>'Reported burning'!F3830</f>
        <v>0</v>
      </c>
      <c r="G3830" s="156">
        <f>'Reported burning'!G3830</f>
        <v>0</v>
      </c>
      <c r="H3830" s="156">
        <f>'Reported burning'!H3830</f>
        <v>0</v>
      </c>
      <c r="I3830" s="5"/>
    </row>
    <row r="3831" spans="1:9">
      <c r="A3831" s="156">
        <f>'Reported burning'!A3831</f>
        <v>0</v>
      </c>
      <c r="B3831" s="156">
        <f>'Reported burning'!B3831</f>
        <v>0</v>
      </c>
      <c r="C3831" s="156">
        <f>'Reported burning'!C3831</f>
        <v>0</v>
      </c>
      <c r="D3831" s="156">
        <f>'Reported burning'!D3831</f>
        <v>0</v>
      </c>
      <c r="E3831" s="156">
        <f>'Reported burning'!E3831</f>
        <v>0</v>
      </c>
      <c r="F3831" s="156">
        <f>'Reported burning'!F3831</f>
        <v>0</v>
      </c>
      <c r="G3831" s="156">
        <f>'Reported burning'!G3831</f>
        <v>0</v>
      </c>
      <c r="H3831" s="156">
        <f>'Reported burning'!H3831</f>
        <v>0</v>
      </c>
      <c r="I3831" s="5"/>
    </row>
    <row r="3832" spans="1:9">
      <c r="A3832" s="156">
        <f>'Reported burning'!A3832</f>
        <v>0</v>
      </c>
      <c r="B3832" s="156">
        <f>'Reported burning'!B3832</f>
        <v>0</v>
      </c>
      <c r="C3832" s="156">
        <f>'Reported burning'!C3832</f>
        <v>0</v>
      </c>
      <c r="D3832" s="156">
        <f>'Reported burning'!D3832</f>
        <v>0</v>
      </c>
      <c r="E3832" s="156">
        <f>'Reported burning'!E3832</f>
        <v>0</v>
      </c>
      <c r="F3832" s="156">
        <f>'Reported burning'!F3832</f>
        <v>0</v>
      </c>
      <c r="G3832" s="156">
        <f>'Reported burning'!G3832</f>
        <v>0</v>
      </c>
      <c r="H3832" s="156">
        <f>'Reported burning'!H3832</f>
        <v>0</v>
      </c>
      <c r="I3832" s="5"/>
    </row>
    <row r="3833" spans="1:9">
      <c r="A3833" s="156">
        <f>'Reported burning'!A3833</f>
        <v>0</v>
      </c>
      <c r="B3833" s="156">
        <f>'Reported burning'!B3833</f>
        <v>0</v>
      </c>
      <c r="C3833" s="156">
        <f>'Reported burning'!C3833</f>
        <v>0</v>
      </c>
      <c r="D3833" s="156">
        <f>'Reported burning'!D3833</f>
        <v>0</v>
      </c>
      <c r="E3833" s="156">
        <f>'Reported burning'!E3833</f>
        <v>0</v>
      </c>
      <c r="F3833" s="156">
        <f>'Reported burning'!F3833</f>
        <v>0</v>
      </c>
      <c r="G3833" s="156">
        <f>'Reported burning'!G3833</f>
        <v>0</v>
      </c>
      <c r="H3833" s="156">
        <f>'Reported burning'!H3833</f>
        <v>0</v>
      </c>
      <c r="I3833" s="5"/>
    </row>
    <row r="3834" spans="1:9">
      <c r="A3834" s="156">
        <f>'Reported burning'!A3834</f>
        <v>0</v>
      </c>
      <c r="B3834" s="156">
        <f>'Reported burning'!B3834</f>
        <v>0</v>
      </c>
      <c r="C3834" s="156">
        <f>'Reported burning'!C3834</f>
        <v>0</v>
      </c>
      <c r="D3834" s="156">
        <f>'Reported burning'!D3834</f>
        <v>0</v>
      </c>
      <c r="E3834" s="156">
        <f>'Reported burning'!E3834</f>
        <v>0</v>
      </c>
      <c r="F3834" s="156">
        <f>'Reported burning'!F3834</f>
        <v>0</v>
      </c>
      <c r="G3834" s="156">
        <f>'Reported burning'!G3834</f>
        <v>0</v>
      </c>
      <c r="H3834" s="156">
        <f>'Reported burning'!H3834</f>
        <v>0</v>
      </c>
      <c r="I3834" s="5"/>
    </row>
    <row r="3835" spans="1:9">
      <c r="A3835" s="156">
        <f>'Reported burning'!A3835</f>
        <v>0</v>
      </c>
      <c r="B3835" s="156">
        <f>'Reported burning'!B3835</f>
        <v>0</v>
      </c>
      <c r="C3835" s="156">
        <f>'Reported burning'!C3835</f>
        <v>0</v>
      </c>
      <c r="D3835" s="156">
        <f>'Reported burning'!D3835</f>
        <v>0</v>
      </c>
      <c r="E3835" s="156">
        <f>'Reported burning'!E3835</f>
        <v>0</v>
      </c>
      <c r="F3835" s="156">
        <f>'Reported burning'!F3835</f>
        <v>0</v>
      </c>
      <c r="G3835" s="156">
        <f>'Reported burning'!G3835</f>
        <v>0</v>
      </c>
      <c r="H3835" s="156">
        <f>'Reported burning'!H3835</f>
        <v>0</v>
      </c>
      <c r="I3835" s="5"/>
    </row>
    <row r="3836" spans="1:9">
      <c r="A3836" s="156">
        <f>'Reported burning'!A3836</f>
        <v>0</v>
      </c>
      <c r="B3836" s="156">
        <f>'Reported burning'!B3836</f>
        <v>0</v>
      </c>
      <c r="C3836" s="156">
        <f>'Reported burning'!C3836</f>
        <v>0</v>
      </c>
      <c r="D3836" s="156">
        <f>'Reported burning'!D3836</f>
        <v>0</v>
      </c>
      <c r="E3836" s="156">
        <f>'Reported burning'!E3836</f>
        <v>0</v>
      </c>
      <c r="F3836" s="156">
        <f>'Reported burning'!F3836</f>
        <v>0</v>
      </c>
      <c r="G3836" s="156">
        <f>'Reported burning'!G3836</f>
        <v>0</v>
      </c>
      <c r="H3836" s="156">
        <f>'Reported burning'!H3836</f>
        <v>0</v>
      </c>
      <c r="I3836" s="5"/>
    </row>
    <row r="3837" spans="1:9">
      <c r="A3837" s="156">
        <f>'Reported burning'!A3837</f>
        <v>0</v>
      </c>
      <c r="B3837" s="156">
        <f>'Reported burning'!B3837</f>
        <v>0</v>
      </c>
      <c r="C3837" s="156">
        <f>'Reported burning'!C3837</f>
        <v>0</v>
      </c>
      <c r="D3837" s="156">
        <f>'Reported burning'!D3837</f>
        <v>0</v>
      </c>
      <c r="E3837" s="156">
        <f>'Reported burning'!E3837</f>
        <v>0</v>
      </c>
      <c r="F3837" s="156">
        <f>'Reported burning'!F3837</f>
        <v>0</v>
      </c>
      <c r="G3837" s="156">
        <f>'Reported burning'!G3837</f>
        <v>0</v>
      </c>
      <c r="H3837" s="156">
        <f>'Reported burning'!H3837</f>
        <v>0</v>
      </c>
      <c r="I3837" s="5"/>
    </row>
    <row r="3838" spans="1:9">
      <c r="A3838" s="156">
        <f>'Reported burning'!A3838</f>
        <v>0</v>
      </c>
      <c r="B3838" s="156">
        <f>'Reported burning'!B3838</f>
        <v>0</v>
      </c>
      <c r="C3838" s="156">
        <f>'Reported burning'!C3838</f>
        <v>0</v>
      </c>
      <c r="D3838" s="156">
        <f>'Reported burning'!D3838</f>
        <v>0</v>
      </c>
      <c r="E3838" s="156">
        <f>'Reported burning'!E3838</f>
        <v>0</v>
      </c>
      <c r="F3838" s="156">
        <f>'Reported burning'!F3838</f>
        <v>0</v>
      </c>
      <c r="G3838" s="156">
        <f>'Reported burning'!G3838</f>
        <v>0</v>
      </c>
      <c r="H3838" s="156">
        <f>'Reported burning'!H3838</f>
        <v>0</v>
      </c>
      <c r="I3838" s="5"/>
    </row>
    <row r="3839" spans="1:9">
      <c r="A3839" s="156">
        <f>'Reported burning'!A3839</f>
        <v>0</v>
      </c>
      <c r="B3839" s="156">
        <f>'Reported burning'!B3839</f>
        <v>0</v>
      </c>
      <c r="C3839" s="156">
        <f>'Reported burning'!C3839</f>
        <v>0</v>
      </c>
      <c r="D3839" s="156">
        <f>'Reported burning'!D3839</f>
        <v>0</v>
      </c>
      <c r="E3839" s="156">
        <f>'Reported burning'!E3839</f>
        <v>0</v>
      </c>
      <c r="F3839" s="156">
        <f>'Reported burning'!F3839</f>
        <v>0</v>
      </c>
      <c r="G3839" s="156">
        <f>'Reported burning'!G3839</f>
        <v>0</v>
      </c>
      <c r="H3839" s="156">
        <f>'Reported burning'!H3839</f>
        <v>0</v>
      </c>
      <c r="I3839" s="5"/>
    </row>
    <row r="3840" spans="1:9">
      <c r="A3840" s="156">
        <f>'Reported burning'!A3840</f>
        <v>0</v>
      </c>
      <c r="B3840" s="156">
        <f>'Reported burning'!B3840</f>
        <v>0</v>
      </c>
      <c r="C3840" s="156">
        <f>'Reported burning'!C3840</f>
        <v>0</v>
      </c>
      <c r="D3840" s="156">
        <f>'Reported burning'!D3840</f>
        <v>0</v>
      </c>
      <c r="E3840" s="156">
        <f>'Reported burning'!E3840</f>
        <v>0</v>
      </c>
      <c r="F3840" s="156">
        <f>'Reported burning'!F3840</f>
        <v>0</v>
      </c>
      <c r="G3840" s="156">
        <f>'Reported burning'!G3840</f>
        <v>0</v>
      </c>
      <c r="H3840" s="156">
        <f>'Reported burning'!H3840</f>
        <v>0</v>
      </c>
      <c r="I3840" s="5"/>
    </row>
    <row r="3841" spans="1:9">
      <c r="A3841" s="156">
        <f>'Reported burning'!A3841</f>
        <v>0</v>
      </c>
      <c r="B3841" s="156">
        <f>'Reported burning'!B3841</f>
        <v>0</v>
      </c>
      <c r="C3841" s="156">
        <f>'Reported burning'!C3841</f>
        <v>0</v>
      </c>
      <c r="D3841" s="156">
        <f>'Reported burning'!D3841</f>
        <v>0</v>
      </c>
      <c r="E3841" s="156">
        <f>'Reported burning'!E3841</f>
        <v>0</v>
      </c>
      <c r="F3841" s="156">
        <f>'Reported burning'!F3841</f>
        <v>0</v>
      </c>
      <c r="G3841" s="156">
        <f>'Reported burning'!G3841</f>
        <v>0</v>
      </c>
      <c r="H3841" s="156">
        <f>'Reported burning'!H3841</f>
        <v>0</v>
      </c>
      <c r="I3841" s="5"/>
    </row>
    <row r="3842" spans="1:9">
      <c r="A3842" s="156">
        <f>'Reported burning'!A3842</f>
        <v>0</v>
      </c>
      <c r="B3842" s="156">
        <f>'Reported burning'!B3842</f>
        <v>0</v>
      </c>
      <c r="C3842" s="156">
        <f>'Reported burning'!C3842</f>
        <v>0</v>
      </c>
      <c r="D3842" s="156">
        <f>'Reported burning'!D3842</f>
        <v>0</v>
      </c>
      <c r="E3842" s="156">
        <f>'Reported burning'!E3842</f>
        <v>0</v>
      </c>
      <c r="F3842" s="156">
        <f>'Reported burning'!F3842</f>
        <v>0</v>
      </c>
      <c r="G3842" s="156">
        <f>'Reported burning'!G3842</f>
        <v>0</v>
      </c>
      <c r="H3842" s="156">
        <f>'Reported burning'!H3842</f>
        <v>0</v>
      </c>
      <c r="I3842" s="5"/>
    </row>
    <row r="3843" spans="1:9">
      <c r="A3843" s="156">
        <f>'Reported burning'!A3843</f>
        <v>0</v>
      </c>
      <c r="B3843" s="156">
        <f>'Reported burning'!B3843</f>
        <v>0</v>
      </c>
      <c r="C3843" s="156">
        <f>'Reported burning'!C3843</f>
        <v>0</v>
      </c>
      <c r="D3843" s="156">
        <f>'Reported burning'!D3843</f>
        <v>0</v>
      </c>
      <c r="E3843" s="156">
        <f>'Reported burning'!E3843</f>
        <v>0</v>
      </c>
      <c r="F3843" s="156">
        <f>'Reported burning'!F3843</f>
        <v>0</v>
      </c>
      <c r="G3843" s="156">
        <f>'Reported burning'!G3843</f>
        <v>0</v>
      </c>
      <c r="H3843" s="156">
        <f>'Reported burning'!H3843</f>
        <v>0</v>
      </c>
      <c r="I3843" s="5"/>
    </row>
    <row r="3844" spans="1:9">
      <c r="A3844" s="156">
        <f>'Reported burning'!A3844</f>
        <v>0</v>
      </c>
      <c r="B3844" s="156">
        <f>'Reported burning'!B3844</f>
        <v>0</v>
      </c>
      <c r="C3844" s="156">
        <f>'Reported burning'!C3844</f>
        <v>0</v>
      </c>
      <c r="D3844" s="156">
        <f>'Reported burning'!D3844</f>
        <v>0</v>
      </c>
      <c r="E3844" s="156">
        <f>'Reported burning'!E3844</f>
        <v>0</v>
      </c>
      <c r="F3844" s="156">
        <f>'Reported burning'!F3844</f>
        <v>0</v>
      </c>
      <c r="G3844" s="156">
        <f>'Reported burning'!G3844</f>
        <v>0</v>
      </c>
      <c r="H3844" s="156">
        <f>'Reported burning'!H3844</f>
        <v>0</v>
      </c>
      <c r="I3844" s="5"/>
    </row>
    <row r="3845" spans="1:9">
      <c r="A3845" s="156">
        <f>'Reported burning'!A3845</f>
        <v>0</v>
      </c>
      <c r="B3845" s="156">
        <f>'Reported burning'!B3845</f>
        <v>0</v>
      </c>
      <c r="C3845" s="156">
        <f>'Reported burning'!C3845</f>
        <v>0</v>
      </c>
      <c r="D3845" s="156">
        <f>'Reported burning'!D3845</f>
        <v>0</v>
      </c>
      <c r="E3845" s="156">
        <f>'Reported burning'!E3845</f>
        <v>0</v>
      </c>
      <c r="F3845" s="156">
        <f>'Reported burning'!F3845</f>
        <v>0</v>
      </c>
      <c r="G3845" s="156">
        <f>'Reported burning'!G3845</f>
        <v>0</v>
      </c>
      <c r="H3845" s="156">
        <f>'Reported burning'!H3845</f>
        <v>0</v>
      </c>
      <c r="I3845" s="5"/>
    </row>
    <row r="3846" spans="1:9">
      <c r="A3846" s="156">
        <f>'Reported burning'!A3846</f>
        <v>0</v>
      </c>
      <c r="B3846" s="156">
        <f>'Reported burning'!B3846</f>
        <v>0</v>
      </c>
      <c r="C3846" s="156">
        <f>'Reported burning'!C3846</f>
        <v>0</v>
      </c>
      <c r="D3846" s="156">
        <f>'Reported burning'!D3846</f>
        <v>0</v>
      </c>
      <c r="E3846" s="156">
        <f>'Reported burning'!E3846</f>
        <v>0</v>
      </c>
      <c r="F3846" s="156">
        <f>'Reported burning'!F3846</f>
        <v>0</v>
      </c>
      <c r="G3846" s="156">
        <f>'Reported burning'!G3846</f>
        <v>0</v>
      </c>
      <c r="H3846" s="156">
        <f>'Reported burning'!H3846</f>
        <v>0</v>
      </c>
      <c r="I3846" s="5"/>
    </row>
    <row r="3847" spans="1:9">
      <c r="A3847" s="156">
        <f>'Reported burning'!A3847</f>
        <v>0</v>
      </c>
      <c r="B3847" s="156">
        <f>'Reported burning'!B3847</f>
        <v>0</v>
      </c>
      <c r="C3847" s="156">
        <f>'Reported burning'!C3847</f>
        <v>0</v>
      </c>
      <c r="D3847" s="156">
        <f>'Reported burning'!D3847</f>
        <v>0</v>
      </c>
      <c r="E3847" s="156">
        <f>'Reported burning'!E3847</f>
        <v>0</v>
      </c>
      <c r="F3847" s="156">
        <f>'Reported burning'!F3847</f>
        <v>0</v>
      </c>
      <c r="G3847" s="156">
        <f>'Reported burning'!G3847</f>
        <v>0</v>
      </c>
      <c r="H3847" s="156">
        <f>'Reported burning'!H3847</f>
        <v>0</v>
      </c>
      <c r="I3847" s="5"/>
    </row>
    <row r="3848" spans="1:9">
      <c r="A3848" s="156">
        <f>'Reported burning'!A3848</f>
        <v>0</v>
      </c>
      <c r="B3848" s="156">
        <f>'Reported burning'!B3848</f>
        <v>0</v>
      </c>
      <c r="C3848" s="156">
        <f>'Reported burning'!C3848</f>
        <v>0</v>
      </c>
      <c r="D3848" s="156">
        <f>'Reported burning'!D3848</f>
        <v>0</v>
      </c>
      <c r="E3848" s="156">
        <f>'Reported burning'!E3848</f>
        <v>0</v>
      </c>
      <c r="F3848" s="156">
        <f>'Reported burning'!F3848</f>
        <v>0</v>
      </c>
      <c r="G3848" s="156">
        <f>'Reported burning'!G3848</f>
        <v>0</v>
      </c>
      <c r="H3848" s="156">
        <f>'Reported burning'!H3848</f>
        <v>0</v>
      </c>
      <c r="I3848" s="5"/>
    </row>
    <row r="3849" spans="1:9">
      <c r="A3849" s="156">
        <f>'Reported burning'!A3849</f>
        <v>0</v>
      </c>
      <c r="B3849" s="156">
        <f>'Reported burning'!B3849</f>
        <v>0</v>
      </c>
      <c r="C3849" s="156">
        <f>'Reported burning'!C3849</f>
        <v>0</v>
      </c>
      <c r="D3849" s="156">
        <f>'Reported burning'!D3849</f>
        <v>0</v>
      </c>
      <c r="E3849" s="156">
        <f>'Reported burning'!E3849</f>
        <v>0</v>
      </c>
      <c r="F3849" s="156">
        <f>'Reported burning'!F3849</f>
        <v>0</v>
      </c>
      <c r="G3849" s="156">
        <f>'Reported burning'!G3849</f>
        <v>0</v>
      </c>
      <c r="H3849" s="156">
        <f>'Reported burning'!H3849</f>
        <v>0</v>
      </c>
      <c r="I3849" s="5"/>
    </row>
    <row r="3850" spans="1:9">
      <c r="A3850" s="156">
        <f>'Reported burning'!A3850</f>
        <v>0</v>
      </c>
      <c r="B3850" s="156">
        <f>'Reported burning'!B3850</f>
        <v>0</v>
      </c>
      <c r="C3850" s="156">
        <f>'Reported burning'!C3850</f>
        <v>0</v>
      </c>
      <c r="D3850" s="156">
        <f>'Reported burning'!D3850</f>
        <v>0</v>
      </c>
      <c r="E3850" s="156">
        <f>'Reported burning'!E3850</f>
        <v>0</v>
      </c>
      <c r="F3850" s="156">
        <f>'Reported burning'!F3850</f>
        <v>0</v>
      </c>
      <c r="G3850" s="156">
        <f>'Reported burning'!G3850</f>
        <v>0</v>
      </c>
      <c r="H3850" s="156">
        <f>'Reported burning'!H3850</f>
        <v>0</v>
      </c>
      <c r="I3850" s="5"/>
    </row>
    <row r="3851" spans="1:9">
      <c r="A3851" s="156">
        <f>'Reported burning'!A3851</f>
        <v>0</v>
      </c>
      <c r="B3851" s="156">
        <f>'Reported burning'!B3851</f>
        <v>0</v>
      </c>
      <c r="C3851" s="156">
        <f>'Reported burning'!C3851</f>
        <v>0</v>
      </c>
      <c r="D3851" s="156">
        <f>'Reported burning'!D3851</f>
        <v>0</v>
      </c>
      <c r="E3851" s="156">
        <f>'Reported burning'!E3851</f>
        <v>0</v>
      </c>
      <c r="F3851" s="156">
        <f>'Reported burning'!F3851</f>
        <v>0</v>
      </c>
      <c r="G3851" s="156">
        <f>'Reported burning'!G3851</f>
        <v>0</v>
      </c>
      <c r="H3851" s="156">
        <f>'Reported burning'!H3851</f>
        <v>0</v>
      </c>
      <c r="I3851" s="5"/>
    </row>
    <row r="3852" spans="1:9">
      <c r="A3852" s="156">
        <f>'Reported burning'!A3852</f>
        <v>0</v>
      </c>
      <c r="B3852" s="156">
        <f>'Reported burning'!B3852</f>
        <v>0</v>
      </c>
      <c r="C3852" s="156">
        <f>'Reported burning'!C3852</f>
        <v>0</v>
      </c>
      <c r="D3852" s="156">
        <f>'Reported burning'!D3852</f>
        <v>0</v>
      </c>
      <c r="E3852" s="156">
        <f>'Reported burning'!E3852</f>
        <v>0</v>
      </c>
      <c r="F3852" s="156">
        <f>'Reported burning'!F3852</f>
        <v>0</v>
      </c>
      <c r="G3852" s="156">
        <f>'Reported burning'!G3852</f>
        <v>0</v>
      </c>
      <c r="H3852" s="156">
        <f>'Reported burning'!H3852</f>
        <v>0</v>
      </c>
      <c r="I3852" s="5"/>
    </row>
    <row r="3853" spans="1:9">
      <c r="A3853" s="156">
        <f>'Reported burning'!A3853</f>
        <v>0</v>
      </c>
      <c r="B3853" s="156">
        <f>'Reported burning'!B3853</f>
        <v>0</v>
      </c>
      <c r="C3853" s="156">
        <f>'Reported burning'!C3853</f>
        <v>0</v>
      </c>
      <c r="D3853" s="156">
        <f>'Reported burning'!D3853</f>
        <v>0</v>
      </c>
      <c r="E3853" s="156">
        <f>'Reported burning'!E3853</f>
        <v>0</v>
      </c>
      <c r="F3853" s="156">
        <f>'Reported burning'!F3853</f>
        <v>0</v>
      </c>
      <c r="G3853" s="156">
        <f>'Reported burning'!G3853</f>
        <v>0</v>
      </c>
      <c r="H3853" s="156">
        <f>'Reported burning'!H3853</f>
        <v>0</v>
      </c>
      <c r="I3853" s="5"/>
    </row>
    <row r="3854" spans="1:9">
      <c r="A3854" s="156">
        <f>'Reported burning'!A3854</f>
        <v>0</v>
      </c>
      <c r="B3854" s="156">
        <f>'Reported burning'!B3854</f>
        <v>0</v>
      </c>
      <c r="C3854" s="156">
        <f>'Reported burning'!C3854</f>
        <v>0</v>
      </c>
      <c r="D3854" s="156">
        <f>'Reported burning'!D3854</f>
        <v>0</v>
      </c>
      <c r="E3854" s="156">
        <f>'Reported burning'!E3854</f>
        <v>0</v>
      </c>
      <c r="F3854" s="156">
        <f>'Reported burning'!F3854</f>
        <v>0</v>
      </c>
      <c r="G3854" s="156">
        <f>'Reported burning'!G3854</f>
        <v>0</v>
      </c>
      <c r="H3854" s="156">
        <f>'Reported burning'!H3854</f>
        <v>0</v>
      </c>
      <c r="I3854" s="5"/>
    </row>
    <row r="3855" spans="1:9">
      <c r="A3855" s="156">
        <f>'Reported burning'!A3855</f>
        <v>0</v>
      </c>
      <c r="B3855" s="156">
        <f>'Reported burning'!B3855</f>
        <v>0</v>
      </c>
      <c r="C3855" s="156">
        <f>'Reported burning'!C3855</f>
        <v>0</v>
      </c>
      <c r="D3855" s="156">
        <f>'Reported burning'!D3855</f>
        <v>0</v>
      </c>
      <c r="E3855" s="156">
        <f>'Reported burning'!E3855</f>
        <v>0</v>
      </c>
      <c r="F3855" s="156">
        <f>'Reported burning'!F3855</f>
        <v>0</v>
      </c>
      <c r="G3855" s="156">
        <f>'Reported burning'!G3855</f>
        <v>0</v>
      </c>
      <c r="H3855" s="156">
        <f>'Reported burning'!H3855</f>
        <v>0</v>
      </c>
      <c r="I3855" s="5"/>
    </row>
    <row r="3856" spans="1:9">
      <c r="A3856" s="156">
        <f>'Reported burning'!A3856</f>
        <v>0</v>
      </c>
      <c r="B3856" s="156">
        <f>'Reported burning'!B3856</f>
        <v>0</v>
      </c>
      <c r="C3856" s="156">
        <f>'Reported burning'!C3856</f>
        <v>0</v>
      </c>
      <c r="D3856" s="156">
        <f>'Reported burning'!D3856</f>
        <v>0</v>
      </c>
      <c r="E3856" s="156">
        <f>'Reported burning'!E3856</f>
        <v>0</v>
      </c>
      <c r="F3856" s="156">
        <f>'Reported burning'!F3856</f>
        <v>0</v>
      </c>
      <c r="G3856" s="156">
        <f>'Reported burning'!G3856</f>
        <v>0</v>
      </c>
      <c r="H3856" s="156">
        <f>'Reported burning'!H3856</f>
        <v>0</v>
      </c>
      <c r="I3856" s="5"/>
    </row>
    <row r="3857" spans="1:9">
      <c r="A3857" s="156">
        <f>'Reported burning'!A3857</f>
        <v>0</v>
      </c>
      <c r="B3857" s="156">
        <f>'Reported burning'!B3857</f>
        <v>0</v>
      </c>
      <c r="C3857" s="156">
        <f>'Reported burning'!C3857</f>
        <v>0</v>
      </c>
      <c r="D3857" s="156">
        <f>'Reported burning'!D3857</f>
        <v>0</v>
      </c>
      <c r="E3857" s="156">
        <f>'Reported burning'!E3857</f>
        <v>0</v>
      </c>
      <c r="F3857" s="156">
        <f>'Reported burning'!F3857</f>
        <v>0</v>
      </c>
      <c r="G3857" s="156">
        <f>'Reported burning'!G3857</f>
        <v>0</v>
      </c>
      <c r="H3857" s="156">
        <f>'Reported burning'!H3857</f>
        <v>0</v>
      </c>
      <c r="I3857" s="5"/>
    </row>
    <row r="3858" spans="1:9">
      <c r="A3858" s="156">
        <f>'Reported burning'!A3858</f>
        <v>0</v>
      </c>
      <c r="B3858" s="156">
        <f>'Reported burning'!B3858</f>
        <v>0</v>
      </c>
      <c r="C3858" s="156">
        <f>'Reported burning'!C3858</f>
        <v>0</v>
      </c>
      <c r="D3858" s="156">
        <f>'Reported burning'!D3858</f>
        <v>0</v>
      </c>
      <c r="E3858" s="156">
        <f>'Reported burning'!E3858</f>
        <v>0</v>
      </c>
      <c r="F3858" s="156">
        <f>'Reported burning'!F3858</f>
        <v>0</v>
      </c>
      <c r="G3858" s="156">
        <f>'Reported burning'!G3858</f>
        <v>0</v>
      </c>
      <c r="H3858" s="156">
        <f>'Reported burning'!H3858</f>
        <v>0</v>
      </c>
      <c r="I3858" s="5"/>
    </row>
    <row r="3859" spans="1:9">
      <c r="A3859" s="156">
        <f>'Reported burning'!A3859</f>
        <v>0</v>
      </c>
      <c r="B3859" s="156">
        <f>'Reported burning'!B3859</f>
        <v>0</v>
      </c>
      <c r="C3859" s="156">
        <f>'Reported burning'!C3859</f>
        <v>0</v>
      </c>
      <c r="D3859" s="156">
        <f>'Reported burning'!D3859</f>
        <v>0</v>
      </c>
      <c r="E3859" s="156">
        <f>'Reported burning'!E3859</f>
        <v>0</v>
      </c>
      <c r="F3859" s="156">
        <f>'Reported burning'!F3859</f>
        <v>0</v>
      </c>
      <c r="G3859" s="156">
        <f>'Reported burning'!G3859</f>
        <v>0</v>
      </c>
      <c r="H3859" s="156">
        <f>'Reported burning'!H3859</f>
        <v>0</v>
      </c>
      <c r="I3859" s="5"/>
    </row>
    <row r="3860" spans="1:9">
      <c r="A3860" s="156">
        <f>'Reported burning'!A3860</f>
        <v>0</v>
      </c>
      <c r="B3860" s="156">
        <f>'Reported burning'!B3860</f>
        <v>0</v>
      </c>
      <c r="C3860" s="156">
        <f>'Reported burning'!C3860</f>
        <v>0</v>
      </c>
      <c r="D3860" s="156">
        <f>'Reported burning'!D3860</f>
        <v>0</v>
      </c>
      <c r="E3860" s="156">
        <f>'Reported burning'!E3860</f>
        <v>0</v>
      </c>
      <c r="F3860" s="156">
        <f>'Reported burning'!F3860</f>
        <v>0</v>
      </c>
      <c r="G3860" s="156">
        <f>'Reported burning'!G3860</f>
        <v>0</v>
      </c>
      <c r="H3860" s="156">
        <f>'Reported burning'!H3860</f>
        <v>0</v>
      </c>
      <c r="I3860" s="5"/>
    </row>
    <row r="3861" spans="1:9">
      <c r="A3861" s="156">
        <f>'Reported burning'!A3861</f>
        <v>0</v>
      </c>
      <c r="B3861" s="156">
        <f>'Reported burning'!B3861</f>
        <v>0</v>
      </c>
      <c r="C3861" s="156">
        <f>'Reported burning'!C3861</f>
        <v>0</v>
      </c>
      <c r="D3861" s="156">
        <f>'Reported burning'!D3861</f>
        <v>0</v>
      </c>
      <c r="E3861" s="156">
        <f>'Reported burning'!E3861</f>
        <v>0</v>
      </c>
      <c r="F3861" s="156">
        <f>'Reported burning'!F3861</f>
        <v>0</v>
      </c>
      <c r="G3861" s="156">
        <f>'Reported burning'!G3861</f>
        <v>0</v>
      </c>
      <c r="H3861" s="156">
        <f>'Reported burning'!H3861</f>
        <v>0</v>
      </c>
      <c r="I3861" s="5"/>
    </row>
    <row r="3862" spans="1:9">
      <c r="A3862" s="156">
        <f>'Reported burning'!A3862</f>
        <v>0</v>
      </c>
      <c r="B3862" s="156">
        <f>'Reported burning'!B3862</f>
        <v>0</v>
      </c>
      <c r="C3862" s="156">
        <f>'Reported burning'!C3862</f>
        <v>0</v>
      </c>
      <c r="D3862" s="156">
        <f>'Reported burning'!D3862</f>
        <v>0</v>
      </c>
      <c r="E3862" s="156">
        <f>'Reported burning'!E3862</f>
        <v>0</v>
      </c>
      <c r="F3862" s="156">
        <f>'Reported burning'!F3862</f>
        <v>0</v>
      </c>
      <c r="G3862" s="156">
        <f>'Reported burning'!G3862</f>
        <v>0</v>
      </c>
      <c r="H3862" s="156">
        <f>'Reported burning'!H3862</f>
        <v>0</v>
      </c>
      <c r="I3862" s="5"/>
    </row>
    <row r="3863" spans="1:9">
      <c r="A3863" s="156">
        <f>'Reported burning'!A3863</f>
        <v>0</v>
      </c>
      <c r="B3863" s="156">
        <f>'Reported burning'!B3863</f>
        <v>0</v>
      </c>
      <c r="C3863" s="156">
        <f>'Reported burning'!C3863</f>
        <v>0</v>
      </c>
      <c r="D3863" s="156">
        <f>'Reported burning'!D3863</f>
        <v>0</v>
      </c>
      <c r="E3863" s="156">
        <f>'Reported burning'!E3863</f>
        <v>0</v>
      </c>
      <c r="F3863" s="156">
        <f>'Reported burning'!F3863</f>
        <v>0</v>
      </c>
      <c r="G3863" s="156">
        <f>'Reported burning'!G3863</f>
        <v>0</v>
      </c>
      <c r="H3863" s="156">
        <f>'Reported burning'!H3863</f>
        <v>0</v>
      </c>
      <c r="I3863" s="5"/>
    </row>
    <row r="3864" spans="1:9">
      <c r="A3864" s="156">
        <f>'Reported burning'!A3864</f>
        <v>0</v>
      </c>
      <c r="B3864" s="156">
        <f>'Reported burning'!B3864</f>
        <v>0</v>
      </c>
      <c r="C3864" s="156">
        <f>'Reported burning'!C3864</f>
        <v>0</v>
      </c>
      <c r="D3864" s="156">
        <f>'Reported burning'!D3864</f>
        <v>0</v>
      </c>
      <c r="E3864" s="156">
        <f>'Reported burning'!E3864</f>
        <v>0</v>
      </c>
      <c r="F3864" s="156">
        <f>'Reported burning'!F3864</f>
        <v>0</v>
      </c>
      <c r="G3864" s="156">
        <f>'Reported burning'!G3864</f>
        <v>0</v>
      </c>
      <c r="H3864" s="156">
        <f>'Reported burning'!H3864</f>
        <v>0</v>
      </c>
      <c r="I3864" s="5"/>
    </row>
    <row r="3865" spans="1:9">
      <c r="A3865" s="156">
        <f>'Reported burning'!A3865</f>
        <v>0</v>
      </c>
      <c r="B3865" s="156">
        <f>'Reported burning'!B3865</f>
        <v>0</v>
      </c>
      <c r="C3865" s="156">
        <f>'Reported burning'!C3865</f>
        <v>0</v>
      </c>
      <c r="D3865" s="156">
        <f>'Reported burning'!D3865</f>
        <v>0</v>
      </c>
      <c r="E3865" s="156">
        <f>'Reported burning'!E3865</f>
        <v>0</v>
      </c>
      <c r="F3865" s="156">
        <f>'Reported burning'!F3865</f>
        <v>0</v>
      </c>
      <c r="G3865" s="156">
        <f>'Reported burning'!G3865</f>
        <v>0</v>
      </c>
      <c r="H3865" s="156">
        <f>'Reported burning'!H3865</f>
        <v>0</v>
      </c>
      <c r="I3865" s="5"/>
    </row>
    <row r="3866" spans="1:9">
      <c r="A3866" s="156">
        <f>'Reported burning'!A3866</f>
        <v>0</v>
      </c>
      <c r="B3866" s="156">
        <f>'Reported burning'!B3866</f>
        <v>0</v>
      </c>
      <c r="C3866" s="156">
        <f>'Reported burning'!C3866</f>
        <v>0</v>
      </c>
      <c r="D3866" s="156">
        <f>'Reported burning'!D3866</f>
        <v>0</v>
      </c>
      <c r="E3866" s="156">
        <f>'Reported burning'!E3866</f>
        <v>0</v>
      </c>
      <c r="F3866" s="156">
        <f>'Reported burning'!F3866</f>
        <v>0</v>
      </c>
      <c r="G3866" s="156">
        <f>'Reported burning'!G3866</f>
        <v>0</v>
      </c>
      <c r="H3866" s="156">
        <f>'Reported burning'!H3866</f>
        <v>0</v>
      </c>
      <c r="I3866" s="5"/>
    </row>
    <row r="3867" spans="1:9">
      <c r="A3867" s="156">
        <f>'Reported burning'!A3867</f>
        <v>0</v>
      </c>
      <c r="B3867" s="156">
        <f>'Reported burning'!B3867</f>
        <v>0</v>
      </c>
      <c r="C3867" s="156">
        <f>'Reported burning'!C3867</f>
        <v>0</v>
      </c>
      <c r="D3867" s="156">
        <f>'Reported burning'!D3867</f>
        <v>0</v>
      </c>
      <c r="E3867" s="156">
        <f>'Reported burning'!E3867</f>
        <v>0</v>
      </c>
      <c r="F3867" s="156">
        <f>'Reported burning'!F3867</f>
        <v>0</v>
      </c>
      <c r="G3867" s="156">
        <f>'Reported burning'!G3867</f>
        <v>0</v>
      </c>
      <c r="H3867" s="156">
        <f>'Reported burning'!H3867</f>
        <v>0</v>
      </c>
      <c r="I3867" s="5"/>
    </row>
    <row r="3868" spans="1:9">
      <c r="A3868" s="156">
        <f>'Reported burning'!A3868</f>
        <v>0</v>
      </c>
      <c r="B3868" s="156">
        <f>'Reported burning'!B3868</f>
        <v>0</v>
      </c>
      <c r="C3868" s="156">
        <f>'Reported burning'!C3868</f>
        <v>0</v>
      </c>
      <c r="D3868" s="156">
        <f>'Reported burning'!D3868</f>
        <v>0</v>
      </c>
      <c r="E3868" s="156">
        <f>'Reported burning'!E3868</f>
        <v>0</v>
      </c>
      <c r="F3868" s="156">
        <f>'Reported burning'!F3868</f>
        <v>0</v>
      </c>
      <c r="G3868" s="156">
        <f>'Reported burning'!G3868</f>
        <v>0</v>
      </c>
      <c r="H3868" s="156">
        <f>'Reported burning'!H3868</f>
        <v>0</v>
      </c>
      <c r="I3868" s="5"/>
    </row>
    <row r="3869" spans="1:9">
      <c r="A3869" s="156">
        <f>'Reported burning'!A3869</f>
        <v>0</v>
      </c>
      <c r="B3869" s="156">
        <f>'Reported burning'!B3869</f>
        <v>0</v>
      </c>
      <c r="C3869" s="156">
        <f>'Reported burning'!C3869</f>
        <v>0</v>
      </c>
      <c r="D3869" s="156">
        <f>'Reported burning'!D3869</f>
        <v>0</v>
      </c>
      <c r="E3869" s="156">
        <f>'Reported burning'!E3869</f>
        <v>0</v>
      </c>
      <c r="F3869" s="156">
        <f>'Reported burning'!F3869</f>
        <v>0</v>
      </c>
      <c r="G3869" s="156">
        <f>'Reported burning'!G3869</f>
        <v>0</v>
      </c>
      <c r="H3869" s="156">
        <f>'Reported burning'!H3869</f>
        <v>0</v>
      </c>
      <c r="I3869" s="5"/>
    </row>
    <row r="3870" spans="1:9">
      <c r="A3870" s="156">
        <f>'Reported burning'!A3870</f>
        <v>0</v>
      </c>
      <c r="B3870" s="156">
        <f>'Reported burning'!B3870</f>
        <v>0</v>
      </c>
      <c r="C3870" s="156">
        <f>'Reported burning'!C3870</f>
        <v>0</v>
      </c>
      <c r="D3870" s="156">
        <f>'Reported burning'!D3870</f>
        <v>0</v>
      </c>
      <c r="E3870" s="156">
        <f>'Reported burning'!E3870</f>
        <v>0</v>
      </c>
      <c r="F3870" s="156">
        <f>'Reported burning'!F3870</f>
        <v>0</v>
      </c>
      <c r="G3870" s="156">
        <f>'Reported burning'!G3870</f>
        <v>0</v>
      </c>
      <c r="H3870" s="156">
        <f>'Reported burning'!H3870</f>
        <v>0</v>
      </c>
      <c r="I3870" s="5"/>
    </row>
    <row r="3871" spans="1:9">
      <c r="A3871" s="156">
        <f>'Reported burning'!A3871</f>
        <v>0</v>
      </c>
      <c r="B3871" s="156">
        <f>'Reported burning'!B3871</f>
        <v>0</v>
      </c>
      <c r="C3871" s="156">
        <f>'Reported burning'!C3871</f>
        <v>0</v>
      </c>
      <c r="D3871" s="156">
        <f>'Reported burning'!D3871</f>
        <v>0</v>
      </c>
      <c r="E3871" s="156">
        <f>'Reported burning'!E3871</f>
        <v>0</v>
      </c>
      <c r="F3871" s="156">
        <f>'Reported burning'!F3871</f>
        <v>0</v>
      </c>
      <c r="G3871" s="156">
        <f>'Reported burning'!G3871</f>
        <v>0</v>
      </c>
      <c r="H3871" s="156">
        <f>'Reported burning'!H3871</f>
        <v>0</v>
      </c>
      <c r="I3871" s="5"/>
    </row>
    <row r="3872" spans="1:9">
      <c r="A3872" s="156">
        <f>'Reported burning'!A3872</f>
        <v>0</v>
      </c>
      <c r="B3872" s="156">
        <f>'Reported burning'!B3872</f>
        <v>0</v>
      </c>
      <c r="C3872" s="156">
        <f>'Reported burning'!C3872</f>
        <v>0</v>
      </c>
      <c r="D3872" s="156">
        <f>'Reported burning'!D3872</f>
        <v>0</v>
      </c>
      <c r="E3872" s="156">
        <f>'Reported burning'!E3872</f>
        <v>0</v>
      </c>
      <c r="F3872" s="156">
        <f>'Reported burning'!F3872</f>
        <v>0</v>
      </c>
      <c r="G3872" s="156">
        <f>'Reported burning'!G3872</f>
        <v>0</v>
      </c>
      <c r="H3872" s="156">
        <f>'Reported burning'!H3872</f>
        <v>0</v>
      </c>
      <c r="I3872" s="5"/>
    </row>
    <row r="3873" spans="1:9">
      <c r="A3873" s="156">
        <f>'Reported burning'!A3873</f>
        <v>0</v>
      </c>
      <c r="B3873" s="156">
        <f>'Reported burning'!B3873</f>
        <v>0</v>
      </c>
      <c r="C3873" s="156">
        <f>'Reported burning'!C3873</f>
        <v>0</v>
      </c>
      <c r="D3873" s="156">
        <f>'Reported burning'!D3873</f>
        <v>0</v>
      </c>
      <c r="E3873" s="156">
        <f>'Reported burning'!E3873</f>
        <v>0</v>
      </c>
      <c r="F3873" s="156">
        <f>'Reported burning'!F3873</f>
        <v>0</v>
      </c>
      <c r="G3873" s="156">
        <f>'Reported burning'!G3873</f>
        <v>0</v>
      </c>
      <c r="H3873" s="156">
        <f>'Reported burning'!H3873</f>
        <v>0</v>
      </c>
      <c r="I3873" s="5"/>
    </row>
    <row r="3874" spans="1:9">
      <c r="A3874" s="156">
        <f>'Reported burning'!A3874</f>
        <v>0</v>
      </c>
      <c r="B3874" s="156">
        <f>'Reported burning'!B3874</f>
        <v>0</v>
      </c>
      <c r="C3874" s="156">
        <f>'Reported burning'!C3874</f>
        <v>0</v>
      </c>
      <c r="D3874" s="156">
        <f>'Reported burning'!D3874</f>
        <v>0</v>
      </c>
      <c r="E3874" s="156">
        <f>'Reported burning'!E3874</f>
        <v>0</v>
      </c>
      <c r="F3874" s="156">
        <f>'Reported burning'!F3874</f>
        <v>0</v>
      </c>
      <c r="G3874" s="156">
        <f>'Reported burning'!G3874</f>
        <v>0</v>
      </c>
      <c r="H3874" s="156">
        <f>'Reported burning'!H3874</f>
        <v>0</v>
      </c>
      <c r="I3874" s="5"/>
    </row>
    <row r="3875" spans="1:9">
      <c r="A3875" s="156">
        <f>'Reported burning'!A3875</f>
        <v>0</v>
      </c>
      <c r="B3875" s="156">
        <f>'Reported burning'!B3875</f>
        <v>0</v>
      </c>
      <c r="C3875" s="156">
        <f>'Reported burning'!C3875</f>
        <v>0</v>
      </c>
      <c r="D3875" s="156">
        <f>'Reported burning'!D3875</f>
        <v>0</v>
      </c>
      <c r="E3875" s="156">
        <f>'Reported burning'!E3875</f>
        <v>0</v>
      </c>
      <c r="F3875" s="156">
        <f>'Reported burning'!F3875</f>
        <v>0</v>
      </c>
      <c r="G3875" s="156">
        <f>'Reported burning'!G3875</f>
        <v>0</v>
      </c>
      <c r="H3875" s="156">
        <f>'Reported burning'!H3875</f>
        <v>0</v>
      </c>
      <c r="I3875" s="5"/>
    </row>
    <row r="3876" spans="1:9">
      <c r="A3876" s="156">
        <f>'Reported burning'!A3876</f>
        <v>0</v>
      </c>
      <c r="B3876" s="156">
        <f>'Reported burning'!B3876</f>
        <v>0</v>
      </c>
      <c r="C3876" s="156">
        <f>'Reported burning'!C3876</f>
        <v>0</v>
      </c>
      <c r="D3876" s="156">
        <f>'Reported burning'!D3876</f>
        <v>0</v>
      </c>
      <c r="E3876" s="156">
        <f>'Reported burning'!E3876</f>
        <v>0</v>
      </c>
      <c r="F3876" s="156">
        <f>'Reported burning'!F3876</f>
        <v>0</v>
      </c>
      <c r="G3876" s="156">
        <f>'Reported burning'!G3876</f>
        <v>0</v>
      </c>
      <c r="H3876" s="156">
        <f>'Reported burning'!H3876</f>
        <v>0</v>
      </c>
      <c r="I3876" s="5"/>
    </row>
    <row r="3877" spans="1:9">
      <c r="A3877" s="156">
        <f>'Reported burning'!A3877</f>
        <v>0</v>
      </c>
      <c r="B3877" s="156">
        <f>'Reported burning'!B3877</f>
        <v>0</v>
      </c>
      <c r="C3877" s="156">
        <f>'Reported burning'!C3877</f>
        <v>0</v>
      </c>
      <c r="D3877" s="156">
        <f>'Reported burning'!D3877</f>
        <v>0</v>
      </c>
      <c r="E3877" s="156">
        <f>'Reported burning'!E3877</f>
        <v>0</v>
      </c>
      <c r="F3877" s="156">
        <f>'Reported burning'!F3877</f>
        <v>0</v>
      </c>
      <c r="G3877" s="156">
        <f>'Reported burning'!G3877</f>
        <v>0</v>
      </c>
      <c r="H3877" s="156">
        <f>'Reported burning'!H3877</f>
        <v>0</v>
      </c>
      <c r="I3877" s="5"/>
    </row>
    <row r="3878" spans="1:9">
      <c r="A3878" s="156">
        <f>'Reported burning'!A3878</f>
        <v>0</v>
      </c>
      <c r="B3878" s="156">
        <f>'Reported burning'!B3878</f>
        <v>0</v>
      </c>
      <c r="C3878" s="156">
        <f>'Reported burning'!C3878</f>
        <v>0</v>
      </c>
      <c r="D3878" s="156">
        <f>'Reported burning'!D3878</f>
        <v>0</v>
      </c>
      <c r="E3878" s="156">
        <f>'Reported burning'!E3878</f>
        <v>0</v>
      </c>
      <c r="F3878" s="156">
        <f>'Reported burning'!F3878</f>
        <v>0</v>
      </c>
      <c r="G3878" s="156">
        <f>'Reported burning'!G3878</f>
        <v>0</v>
      </c>
      <c r="H3878" s="156">
        <f>'Reported burning'!H3878</f>
        <v>0</v>
      </c>
      <c r="I3878" s="5"/>
    </row>
    <row r="3879" spans="1:9">
      <c r="A3879" s="156">
        <f>'Reported burning'!A3879</f>
        <v>0</v>
      </c>
      <c r="B3879" s="156">
        <f>'Reported burning'!B3879</f>
        <v>0</v>
      </c>
      <c r="C3879" s="156">
        <f>'Reported burning'!C3879</f>
        <v>0</v>
      </c>
      <c r="D3879" s="156">
        <f>'Reported burning'!D3879</f>
        <v>0</v>
      </c>
      <c r="E3879" s="156">
        <f>'Reported burning'!E3879</f>
        <v>0</v>
      </c>
      <c r="F3879" s="156">
        <f>'Reported burning'!F3879</f>
        <v>0</v>
      </c>
      <c r="G3879" s="156">
        <f>'Reported burning'!G3879</f>
        <v>0</v>
      </c>
      <c r="H3879" s="156">
        <f>'Reported burning'!H3879</f>
        <v>0</v>
      </c>
      <c r="I3879" s="5"/>
    </row>
    <row r="3880" spans="1:9">
      <c r="A3880" s="156">
        <f>'Reported burning'!A3880</f>
        <v>0</v>
      </c>
      <c r="B3880" s="156">
        <f>'Reported burning'!B3880</f>
        <v>0</v>
      </c>
      <c r="C3880" s="156">
        <f>'Reported burning'!C3880</f>
        <v>0</v>
      </c>
      <c r="D3880" s="156">
        <f>'Reported burning'!D3880</f>
        <v>0</v>
      </c>
      <c r="E3880" s="156">
        <f>'Reported burning'!E3880</f>
        <v>0</v>
      </c>
      <c r="F3880" s="156">
        <f>'Reported burning'!F3880</f>
        <v>0</v>
      </c>
      <c r="G3880" s="156">
        <f>'Reported burning'!G3880</f>
        <v>0</v>
      </c>
      <c r="H3880" s="156">
        <f>'Reported burning'!H3880</f>
        <v>0</v>
      </c>
      <c r="I3880" s="5"/>
    </row>
    <row r="3881" spans="1:9">
      <c r="A3881" s="156">
        <f>'Reported burning'!A3881</f>
        <v>0</v>
      </c>
      <c r="B3881" s="156">
        <f>'Reported burning'!B3881</f>
        <v>0</v>
      </c>
      <c r="C3881" s="156">
        <f>'Reported burning'!C3881</f>
        <v>0</v>
      </c>
      <c r="D3881" s="156">
        <f>'Reported burning'!D3881</f>
        <v>0</v>
      </c>
      <c r="E3881" s="156">
        <f>'Reported burning'!E3881</f>
        <v>0</v>
      </c>
      <c r="F3881" s="156">
        <f>'Reported burning'!F3881</f>
        <v>0</v>
      </c>
      <c r="G3881" s="156">
        <f>'Reported burning'!G3881</f>
        <v>0</v>
      </c>
      <c r="H3881" s="156">
        <f>'Reported burning'!H3881</f>
        <v>0</v>
      </c>
      <c r="I3881" s="5"/>
    </row>
    <row r="3882" spans="1:9">
      <c r="A3882" s="156">
        <f>'Reported burning'!A3882</f>
        <v>0</v>
      </c>
      <c r="B3882" s="156">
        <f>'Reported burning'!B3882</f>
        <v>0</v>
      </c>
      <c r="C3882" s="156">
        <f>'Reported burning'!C3882</f>
        <v>0</v>
      </c>
      <c r="D3882" s="156">
        <f>'Reported burning'!D3882</f>
        <v>0</v>
      </c>
      <c r="E3882" s="156">
        <f>'Reported burning'!E3882</f>
        <v>0</v>
      </c>
      <c r="F3882" s="156">
        <f>'Reported burning'!F3882</f>
        <v>0</v>
      </c>
      <c r="G3882" s="156">
        <f>'Reported burning'!G3882</f>
        <v>0</v>
      </c>
      <c r="H3882" s="156">
        <f>'Reported burning'!H3882</f>
        <v>0</v>
      </c>
      <c r="I3882" s="5"/>
    </row>
    <row r="3883" spans="1:9">
      <c r="A3883" s="156">
        <f>'Reported burning'!A3883</f>
        <v>0</v>
      </c>
      <c r="B3883" s="156">
        <f>'Reported burning'!B3883</f>
        <v>0</v>
      </c>
      <c r="C3883" s="156">
        <f>'Reported burning'!C3883</f>
        <v>0</v>
      </c>
      <c r="D3883" s="156">
        <f>'Reported burning'!D3883</f>
        <v>0</v>
      </c>
      <c r="E3883" s="156">
        <f>'Reported burning'!E3883</f>
        <v>0</v>
      </c>
      <c r="F3883" s="156">
        <f>'Reported burning'!F3883</f>
        <v>0</v>
      </c>
      <c r="G3883" s="156">
        <f>'Reported burning'!G3883</f>
        <v>0</v>
      </c>
      <c r="H3883" s="156">
        <f>'Reported burning'!H3883</f>
        <v>0</v>
      </c>
      <c r="I3883" s="5"/>
    </row>
    <row r="3884" spans="1:9">
      <c r="A3884" s="156">
        <f>'Reported burning'!A3884</f>
        <v>0</v>
      </c>
      <c r="B3884" s="156">
        <f>'Reported burning'!B3884</f>
        <v>0</v>
      </c>
      <c r="C3884" s="156">
        <f>'Reported burning'!C3884</f>
        <v>0</v>
      </c>
      <c r="D3884" s="156">
        <f>'Reported burning'!D3884</f>
        <v>0</v>
      </c>
      <c r="E3884" s="156">
        <f>'Reported burning'!E3884</f>
        <v>0</v>
      </c>
      <c r="F3884" s="156">
        <f>'Reported burning'!F3884</f>
        <v>0</v>
      </c>
      <c r="G3884" s="156">
        <f>'Reported burning'!G3884</f>
        <v>0</v>
      </c>
      <c r="H3884" s="156">
        <f>'Reported burning'!H3884</f>
        <v>0</v>
      </c>
      <c r="I3884" s="5"/>
    </row>
    <row r="3885" spans="1:9">
      <c r="A3885" s="156">
        <f>'Reported burning'!A3885</f>
        <v>0</v>
      </c>
      <c r="B3885" s="156">
        <f>'Reported burning'!B3885</f>
        <v>0</v>
      </c>
      <c r="C3885" s="156">
        <f>'Reported burning'!C3885</f>
        <v>0</v>
      </c>
      <c r="D3885" s="156">
        <f>'Reported burning'!D3885</f>
        <v>0</v>
      </c>
      <c r="E3885" s="156">
        <f>'Reported burning'!E3885</f>
        <v>0</v>
      </c>
      <c r="F3885" s="156">
        <f>'Reported burning'!F3885</f>
        <v>0</v>
      </c>
      <c r="G3885" s="156">
        <f>'Reported burning'!G3885</f>
        <v>0</v>
      </c>
      <c r="H3885" s="156">
        <f>'Reported burning'!H3885</f>
        <v>0</v>
      </c>
      <c r="I3885" s="5"/>
    </row>
    <row r="3886" spans="1:9">
      <c r="A3886" s="156">
        <f>'Reported burning'!A3886</f>
        <v>0</v>
      </c>
      <c r="B3886" s="156">
        <f>'Reported burning'!B3886</f>
        <v>0</v>
      </c>
      <c r="C3886" s="156">
        <f>'Reported burning'!C3886</f>
        <v>0</v>
      </c>
      <c r="D3886" s="156">
        <f>'Reported burning'!D3886</f>
        <v>0</v>
      </c>
      <c r="E3886" s="156">
        <f>'Reported burning'!E3886</f>
        <v>0</v>
      </c>
      <c r="F3886" s="156">
        <f>'Reported burning'!F3886</f>
        <v>0</v>
      </c>
      <c r="G3886" s="156">
        <f>'Reported burning'!G3886</f>
        <v>0</v>
      </c>
      <c r="H3886" s="156">
        <f>'Reported burning'!H3886</f>
        <v>0</v>
      </c>
      <c r="I3886" s="5"/>
    </row>
    <row r="3887" spans="1:9">
      <c r="A3887" s="156">
        <f>'Reported burning'!A3887</f>
        <v>0</v>
      </c>
      <c r="B3887" s="156">
        <f>'Reported burning'!B3887</f>
        <v>0</v>
      </c>
      <c r="C3887" s="156">
        <f>'Reported burning'!C3887</f>
        <v>0</v>
      </c>
      <c r="D3887" s="156">
        <f>'Reported burning'!D3887</f>
        <v>0</v>
      </c>
      <c r="E3887" s="156">
        <f>'Reported burning'!E3887</f>
        <v>0</v>
      </c>
      <c r="F3887" s="156">
        <f>'Reported burning'!F3887</f>
        <v>0</v>
      </c>
      <c r="G3887" s="156">
        <f>'Reported burning'!G3887</f>
        <v>0</v>
      </c>
      <c r="H3887" s="156">
        <f>'Reported burning'!H3887</f>
        <v>0</v>
      </c>
      <c r="I3887" s="5"/>
    </row>
    <row r="3888" spans="1:9">
      <c r="A3888" s="156">
        <f>'Reported burning'!A3888</f>
        <v>0</v>
      </c>
      <c r="B3888" s="156">
        <f>'Reported burning'!B3888</f>
        <v>0</v>
      </c>
      <c r="C3888" s="156">
        <f>'Reported burning'!C3888</f>
        <v>0</v>
      </c>
      <c r="D3888" s="156">
        <f>'Reported burning'!D3888</f>
        <v>0</v>
      </c>
      <c r="E3888" s="156">
        <f>'Reported burning'!E3888</f>
        <v>0</v>
      </c>
      <c r="F3888" s="156">
        <f>'Reported burning'!F3888</f>
        <v>0</v>
      </c>
      <c r="G3888" s="156">
        <f>'Reported burning'!G3888</f>
        <v>0</v>
      </c>
      <c r="H3888" s="156">
        <f>'Reported burning'!H3888</f>
        <v>0</v>
      </c>
      <c r="I3888" s="5"/>
    </row>
    <row r="3889" spans="1:9">
      <c r="A3889" s="156">
        <f>'Reported burning'!A3889</f>
        <v>0</v>
      </c>
      <c r="B3889" s="156">
        <f>'Reported burning'!B3889</f>
        <v>0</v>
      </c>
      <c r="C3889" s="156">
        <f>'Reported burning'!C3889</f>
        <v>0</v>
      </c>
      <c r="D3889" s="156">
        <f>'Reported burning'!D3889</f>
        <v>0</v>
      </c>
      <c r="E3889" s="156">
        <f>'Reported burning'!E3889</f>
        <v>0</v>
      </c>
      <c r="F3889" s="156">
        <f>'Reported burning'!F3889</f>
        <v>0</v>
      </c>
      <c r="G3889" s="156">
        <f>'Reported burning'!G3889</f>
        <v>0</v>
      </c>
      <c r="H3889" s="156">
        <f>'Reported burning'!H3889</f>
        <v>0</v>
      </c>
      <c r="I3889" s="5"/>
    </row>
    <row r="3890" spans="1:9">
      <c r="A3890" s="156">
        <f>'Reported burning'!A3890</f>
        <v>0</v>
      </c>
      <c r="B3890" s="156">
        <f>'Reported burning'!B3890</f>
        <v>0</v>
      </c>
      <c r="C3890" s="156">
        <f>'Reported burning'!C3890</f>
        <v>0</v>
      </c>
      <c r="D3890" s="156">
        <f>'Reported burning'!D3890</f>
        <v>0</v>
      </c>
      <c r="E3890" s="156">
        <f>'Reported burning'!E3890</f>
        <v>0</v>
      </c>
      <c r="F3890" s="156">
        <f>'Reported burning'!F3890</f>
        <v>0</v>
      </c>
      <c r="G3890" s="156">
        <f>'Reported burning'!G3890</f>
        <v>0</v>
      </c>
      <c r="H3890" s="156">
        <f>'Reported burning'!H3890</f>
        <v>0</v>
      </c>
      <c r="I3890" s="5"/>
    </row>
    <row r="3891" spans="1:9">
      <c r="A3891" s="156">
        <f>'Reported burning'!A3891</f>
        <v>0</v>
      </c>
      <c r="B3891" s="156">
        <f>'Reported burning'!B3891</f>
        <v>0</v>
      </c>
      <c r="C3891" s="156">
        <f>'Reported burning'!C3891</f>
        <v>0</v>
      </c>
      <c r="D3891" s="156">
        <f>'Reported burning'!D3891</f>
        <v>0</v>
      </c>
      <c r="E3891" s="156">
        <f>'Reported burning'!E3891</f>
        <v>0</v>
      </c>
      <c r="F3891" s="156">
        <f>'Reported burning'!F3891</f>
        <v>0</v>
      </c>
      <c r="G3891" s="156">
        <f>'Reported burning'!G3891</f>
        <v>0</v>
      </c>
      <c r="H3891" s="156">
        <f>'Reported burning'!H3891</f>
        <v>0</v>
      </c>
      <c r="I3891" s="5"/>
    </row>
    <row r="3892" spans="1:9">
      <c r="A3892" s="156">
        <f>'Reported burning'!A3892</f>
        <v>0</v>
      </c>
      <c r="B3892" s="156">
        <f>'Reported burning'!B3892</f>
        <v>0</v>
      </c>
      <c r="C3892" s="156">
        <f>'Reported burning'!C3892</f>
        <v>0</v>
      </c>
      <c r="D3892" s="156">
        <f>'Reported burning'!D3892</f>
        <v>0</v>
      </c>
      <c r="E3892" s="156">
        <f>'Reported burning'!E3892</f>
        <v>0</v>
      </c>
      <c r="F3892" s="156">
        <f>'Reported burning'!F3892</f>
        <v>0</v>
      </c>
      <c r="G3892" s="156">
        <f>'Reported burning'!G3892</f>
        <v>0</v>
      </c>
      <c r="H3892" s="156">
        <f>'Reported burning'!H3892</f>
        <v>0</v>
      </c>
      <c r="I3892" s="5"/>
    </row>
    <row r="3893" spans="1:9">
      <c r="A3893" s="156">
        <f>'Reported burning'!A3893</f>
        <v>0</v>
      </c>
      <c r="B3893" s="156">
        <f>'Reported burning'!B3893</f>
        <v>0</v>
      </c>
      <c r="C3893" s="156">
        <f>'Reported burning'!C3893</f>
        <v>0</v>
      </c>
      <c r="D3893" s="156">
        <f>'Reported burning'!D3893</f>
        <v>0</v>
      </c>
      <c r="E3893" s="156">
        <f>'Reported burning'!E3893</f>
        <v>0</v>
      </c>
      <c r="F3893" s="156">
        <f>'Reported burning'!F3893</f>
        <v>0</v>
      </c>
      <c r="G3893" s="156">
        <f>'Reported burning'!G3893</f>
        <v>0</v>
      </c>
      <c r="H3893" s="156">
        <f>'Reported burning'!H3893</f>
        <v>0</v>
      </c>
      <c r="I3893" s="5"/>
    </row>
    <row r="3894" spans="1:9">
      <c r="A3894" s="156">
        <f>'Reported burning'!A3894</f>
        <v>0</v>
      </c>
      <c r="B3894" s="156">
        <f>'Reported burning'!B3894</f>
        <v>0</v>
      </c>
      <c r="C3894" s="156">
        <f>'Reported burning'!C3894</f>
        <v>0</v>
      </c>
      <c r="D3894" s="156">
        <f>'Reported burning'!D3894</f>
        <v>0</v>
      </c>
      <c r="E3894" s="156">
        <f>'Reported burning'!E3894</f>
        <v>0</v>
      </c>
      <c r="F3894" s="156">
        <f>'Reported burning'!F3894</f>
        <v>0</v>
      </c>
      <c r="G3894" s="156">
        <f>'Reported burning'!G3894</f>
        <v>0</v>
      </c>
      <c r="H3894" s="156">
        <f>'Reported burning'!H3894</f>
        <v>0</v>
      </c>
      <c r="I3894" s="5"/>
    </row>
    <row r="3895" spans="1:9">
      <c r="A3895" s="156">
        <f>'Reported burning'!A3895</f>
        <v>0</v>
      </c>
      <c r="B3895" s="156">
        <f>'Reported burning'!B3895</f>
        <v>0</v>
      </c>
      <c r="C3895" s="156">
        <f>'Reported burning'!C3895</f>
        <v>0</v>
      </c>
      <c r="D3895" s="156">
        <f>'Reported burning'!D3895</f>
        <v>0</v>
      </c>
      <c r="E3895" s="156">
        <f>'Reported burning'!E3895</f>
        <v>0</v>
      </c>
      <c r="F3895" s="156">
        <f>'Reported burning'!F3895</f>
        <v>0</v>
      </c>
      <c r="G3895" s="156">
        <f>'Reported burning'!G3895</f>
        <v>0</v>
      </c>
      <c r="H3895" s="156">
        <f>'Reported burning'!H3895</f>
        <v>0</v>
      </c>
      <c r="I3895" s="5"/>
    </row>
    <row r="3896" spans="1:9">
      <c r="A3896" s="156">
        <f>'Reported burning'!A3896</f>
        <v>0</v>
      </c>
      <c r="B3896" s="156">
        <f>'Reported burning'!B3896</f>
        <v>0</v>
      </c>
      <c r="C3896" s="156">
        <f>'Reported burning'!C3896</f>
        <v>0</v>
      </c>
      <c r="D3896" s="156">
        <f>'Reported burning'!D3896</f>
        <v>0</v>
      </c>
      <c r="E3896" s="156">
        <f>'Reported burning'!E3896</f>
        <v>0</v>
      </c>
      <c r="F3896" s="156">
        <f>'Reported burning'!F3896</f>
        <v>0</v>
      </c>
      <c r="G3896" s="156">
        <f>'Reported burning'!G3896</f>
        <v>0</v>
      </c>
      <c r="H3896" s="156">
        <f>'Reported burning'!H3896</f>
        <v>0</v>
      </c>
      <c r="I3896" s="5"/>
    </row>
    <row r="3897" spans="1:9">
      <c r="A3897" s="156">
        <f>'Reported burning'!A3897</f>
        <v>0</v>
      </c>
      <c r="B3897" s="156">
        <f>'Reported burning'!B3897</f>
        <v>0</v>
      </c>
      <c r="C3897" s="156">
        <f>'Reported burning'!C3897</f>
        <v>0</v>
      </c>
      <c r="D3897" s="156">
        <f>'Reported burning'!D3897</f>
        <v>0</v>
      </c>
      <c r="E3897" s="156">
        <f>'Reported burning'!E3897</f>
        <v>0</v>
      </c>
      <c r="F3897" s="156">
        <f>'Reported burning'!F3897</f>
        <v>0</v>
      </c>
      <c r="G3897" s="156">
        <f>'Reported burning'!G3897</f>
        <v>0</v>
      </c>
      <c r="H3897" s="156">
        <f>'Reported burning'!H3897</f>
        <v>0</v>
      </c>
      <c r="I3897" s="5"/>
    </row>
    <row r="3898" spans="1:9">
      <c r="A3898" s="156">
        <f>'Reported burning'!A3898</f>
        <v>0</v>
      </c>
      <c r="B3898" s="156">
        <f>'Reported burning'!B3898</f>
        <v>0</v>
      </c>
      <c r="C3898" s="156">
        <f>'Reported burning'!C3898</f>
        <v>0</v>
      </c>
      <c r="D3898" s="156">
        <f>'Reported burning'!D3898</f>
        <v>0</v>
      </c>
      <c r="E3898" s="156">
        <f>'Reported burning'!E3898</f>
        <v>0</v>
      </c>
      <c r="F3898" s="156">
        <f>'Reported burning'!F3898</f>
        <v>0</v>
      </c>
      <c r="G3898" s="156">
        <f>'Reported burning'!G3898</f>
        <v>0</v>
      </c>
      <c r="H3898" s="156">
        <f>'Reported burning'!H3898</f>
        <v>0</v>
      </c>
      <c r="I3898" s="5"/>
    </row>
    <row r="3899" spans="1:9">
      <c r="A3899" s="156">
        <f>'Reported burning'!A3899</f>
        <v>0</v>
      </c>
      <c r="B3899" s="156">
        <f>'Reported burning'!B3899</f>
        <v>0</v>
      </c>
      <c r="C3899" s="156">
        <f>'Reported burning'!C3899</f>
        <v>0</v>
      </c>
      <c r="D3899" s="156">
        <f>'Reported burning'!D3899</f>
        <v>0</v>
      </c>
      <c r="E3899" s="156">
        <f>'Reported burning'!E3899</f>
        <v>0</v>
      </c>
      <c r="F3899" s="156">
        <f>'Reported burning'!F3899</f>
        <v>0</v>
      </c>
      <c r="G3899" s="156">
        <f>'Reported burning'!G3899</f>
        <v>0</v>
      </c>
      <c r="H3899" s="156">
        <f>'Reported burning'!H3899</f>
        <v>0</v>
      </c>
      <c r="I3899" s="5"/>
    </row>
    <row r="3900" spans="1:9">
      <c r="A3900" s="156">
        <f>'Reported burning'!A3900</f>
        <v>0</v>
      </c>
      <c r="B3900" s="156">
        <f>'Reported burning'!B3900</f>
        <v>0</v>
      </c>
      <c r="C3900" s="156">
        <f>'Reported burning'!C3900</f>
        <v>0</v>
      </c>
      <c r="D3900" s="156">
        <f>'Reported burning'!D3900</f>
        <v>0</v>
      </c>
      <c r="E3900" s="156">
        <f>'Reported burning'!E3900</f>
        <v>0</v>
      </c>
      <c r="F3900" s="156">
        <f>'Reported burning'!F3900</f>
        <v>0</v>
      </c>
      <c r="G3900" s="156">
        <f>'Reported burning'!G3900</f>
        <v>0</v>
      </c>
      <c r="H3900" s="156">
        <f>'Reported burning'!H3900</f>
        <v>0</v>
      </c>
      <c r="I3900" s="5"/>
    </row>
    <row r="3901" spans="1:9">
      <c r="A3901" s="156">
        <f>'Reported burning'!A3901</f>
        <v>0</v>
      </c>
      <c r="B3901" s="156">
        <f>'Reported burning'!B3901</f>
        <v>0</v>
      </c>
      <c r="C3901" s="156">
        <f>'Reported burning'!C3901</f>
        <v>0</v>
      </c>
      <c r="D3901" s="156">
        <f>'Reported burning'!D3901</f>
        <v>0</v>
      </c>
      <c r="E3901" s="156">
        <f>'Reported burning'!E3901</f>
        <v>0</v>
      </c>
      <c r="F3901" s="156">
        <f>'Reported burning'!F3901</f>
        <v>0</v>
      </c>
      <c r="G3901" s="156">
        <f>'Reported burning'!G3901</f>
        <v>0</v>
      </c>
      <c r="H3901" s="156">
        <f>'Reported burning'!H3901</f>
        <v>0</v>
      </c>
      <c r="I3901" s="5"/>
    </row>
    <row r="3902" spans="1:9">
      <c r="A3902" s="156">
        <f>'Reported burning'!A3902</f>
        <v>0</v>
      </c>
      <c r="B3902" s="156">
        <f>'Reported burning'!B3902</f>
        <v>0</v>
      </c>
      <c r="C3902" s="156">
        <f>'Reported burning'!C3902</f>
        <v>0</v>
      </c>
      <c r="D3902" s="156">
        <f>'Reported burning'!D3902</f>
        <v>0</v>
      </c>
      <c r="E3902" s="156">
        <f>'Reported burning'!E3902</f>
        <v>0</v>
      </c>
      <c r="F3902" s="156">
        <f>'Reported burning'!F3902</f>
        <v>0</v>
      </c>
      <c r="G3902" s="156">
        <f>'Reported burning'!G3902</f>
        <v>0</v>
      </c>
      <c r="H3902" s="156">
        <f>'Reported burning'!H3902</f>
        <v>0</v>
      </c>
      <c r="I3902" s="5"/>
    </row>
    <row r="3903" spans="1:9">
      <c r="A3903" s="156">
        <f>'Reported burning'!A3903</f>
        <v>0</v>
      </c>
      <c r="B3903" s="156">
        <f>'Reported burning'!B3903</f>
        <v>0</v>
      </c>
      <c r="C3903" s="156">
        <f>'Reported burning'!C3903</f>
        <v>0</v>
      </c>
      <c r="D3903" s="156">
        <f>'Reported burning'!D3903</f>
        <v>0</v>
      </c>
      <c r="E3903" s="156">
        <f>'Reported burning'!E3903</f>
        <v>0</v>
      </c>
      <c r="F3903" s="156">
        <f>'Reported burning'!F3903</f>
        <v>0</v>
      </c>
      <c r="G3903" s="156">
        <f>'Reported burning'!G3903</f>
        <v>0</v>
      </c>
      <c r="H3903" s="156">
        <f>'Reported burning'!H3903</f>
        <v>0</v>
      </c>
      <c r="I3903" s="5"/>
    </row>
    <row r="3904" spans="1:9">
      <c r="A3904" s="156">
        <f>'Reported burning'!A3904</f>
        <v>0</v>
      </c>
      <c r="B3904" s="156">
        <f>'Reported burning'!B3904</f>
        <v>0</v>
      </c>
      <c r="C3904" s="156">
        <f>'Reported burning'!C3904</f>
        <v>0</v>
      </c>
      <c r="D3904" s="156">
        <f>'Reported burning'!D3904</f>
        <v>0</v>
      </c>
      <c r="E3904" s="156">
        <f>'Reported burning'!E3904</f>
        <v>0</v>
      </c>
      <c r="F3904" s="156">
        <f>'Reported burning'!F3904</f>
        <v>0</v>
      </c>
      <c r="G3904" s="156">
        <f>'Reported burning'!G3904</f>
        <v>0</v>
      </c>
      <c r="H3904" s="156">
        <f>'Reported burning'!H3904</f>
        <v>0</v>
      </c>
      <c r="I3904" s="5"/>
    </row>
    <row r="3905" spans="1:9">
      <c r="A3905" s="156">
        <f>'Reported burning'!A3905</f>
        <v>0</v>
      </c>
      <c r="B3905" s="156">
        <f>'Reported burning'!B3905</f>
        <v>0</v>
      </c>
      <c r="C3905" s="156">
        <f>'Reported burning'!C3905</f>
        <v>0</v>
      </c>
      <c r="D3905" s="156">
        <f>'Reported burning'!D3905</f>
        <v>0</v>
      </c>
      <c r="E3905" s="156">
        <f>'Reported burning'!E3905</f>
        <v>0</v>
      </c>
      <c r="F3905" s="156">
        <f>'Reported burning'!F3905</f>
        <v>0</v>
      </c>
      <c r="G3905" s="156">
        <f>'Reported burning'!G3905</f>
        <v>0</v>
      </c>
      <c r="H3905" s="156">
        <f>'Reported burning'!H3905</f>
        <v>0</v>
      </c>
      <c r="I3905" s="5"/>
    </row>
    <row r="3906" spans="1:9">
      <c r="A3906" s="156">
        <f>'Reported burning'!A3906</f>
        <v>0</v>
      </c>
      <c r="B3906" s="156">
        <f>'Reported burning'!B3906</f>
        <v>0</v>
      </c>
      <c r="C3906" s="156">
        <f>'Reported burning'!C3906</f>
        <v>0</v>
      </c>
      <c r="D3906" s="156">
        <f>'Reported burning'!D3906</f>
        <v>0</v>
      </c>
      <c r="E3906" s="156">
        <f>'Reported burning'!E3906</f>
        <v>0</v>
      </c>
      <c r="F3906" s="156">
        <f>'Reported burning'!F3906</f>
        <v>0</v>
      </c>
      <c r="G3906" s="156">
        <f>'Reported burning'!G3906</f>
        <v>0</v>
      </c>
      <c r="H3906" s="156">
        <f>'Reported burning'!H3906</f>
        <v>0</v>
      </c>
      <c r="I3906" s="5"/>
    </row>
    <row r="3907" spans="1:9">
      <c r="A3907" s="156">
        <f>'Reported burning'!A3907</f>
        <v>0</v>
      </c>
      <c r="B3907" s="156">
        <f>'Reported burning'!B3907</f>
        <v>0</v>
      </c>
      <c r="C3907" s="156">
        <f>'Reported burning'!C3907</f>
        <v>0</v>
      </c>
      <c r="D3907" s="156">
        <f>'Reported burning'!D3907</f>
        <v>0</v>
      </c>
      <c r="E3907" s="156">
        <f>'Reported burning'!E3907</f>
        <v>0</v>
      </c>
      <c r="F3907" s="156">
        <f>'Reported burning'!F3907</f>
        <v>0</v>
      </c>
      <c r="G3907" s="156">
        <f>'Reported burning'!G3907</f>
        <v>0</v>
      </c>
      <c r="H3907" s="156">
        <f>'Reported burning'!H3907</f>
        <v>0</v>
      </c>
      <c r="I3907" s="5"/>
    </row>
    <row r="3908" spans="1:9">
      <c r="A3908" s="156">
        <f>'Reported burning'!A3908</f>
        <v>0</v>
      </c>
      <c r="B3908" s="156">
        <f>'Reported burning'!B3908</f>
        <v>0</v>
      </c>
      <c r="C3908" s="156">
        <f>'Reported burning'!C3908</f>
        <v>0</v>
      </c>
      <c r="D3908" s="156">
        <f>'Reported burning'!D3908</f>
        <v>0</v>
      </c>
      <c r="E3908" s="156">
        <f>'Reported burning'!E3908</f>
        <v>0</v>
      </c>
      <c r="F3908" s="156">
        <f>'Reported burning'!F3908</f>
        <v>0</v>
      </c>
      <c r="G3908" s="156">
        <f>'Reported burning'!G3908</f>
        <v>0</v>
      </c>
      <c r="H3908" s="156">
        <f>'Reported burning'!H3908</f>
        <v>0</v>
      </c>
      <c r="I3908" s="5"/>
    </row>
    <row r="3909" spans="1:9">
      <c r="A3909" s="156">
        <f>'Reported burning'!A3909</f>
        <v>0</v>
      </c>
      <c r="B3909" s="156">
        <f>'Reported burning'!B3909</f>
        <v>0</v>
      </c>
      <c r="C3909" s="156">
        <f>'Reported burning'!C3909</f>
        <v>0</v>
      </c>
      <c r="D3909" s="156">
        <f>'Reported burning'!D3909</f>
        <v>0</v>
      </c>
      <c r="E3909" s="156">
        <f>'Reported burning'!E3909</f>
        <v>0</v>
      </c>
      <c r="F3909" s="156">
        <f>'Reported burning'!F3909</f>
        <v>0</v>
      </c>
      <c r="G3909" s="156">
        <f>'Reported burning'!G3909</f>
        <v>0</v>
      </c>
      <c r="H3909" s="156">
        <f>'Reported burning'!H3909</f>
        <v>0</v>
      </c>
      <c r="I3909" s="5"/>
    </row>
    <row r="3910" spans="1:9">
      <c r="A3910" s="156">
        <f>'Reported burning'!A3910</f>
        <v>0</v>
      </c>
      <c r="B3910" s="156">
        <f>'Reported burning'!B3910</f>
        <v>0</v>
      </c>
      <c r="C3910" s="156">
        <f>'Reported burning'!C3910</f>
        <v>0</v>
      </c>
      <c r="D3910" s="156">
        <f>'Reported burning'!D3910</f>
        <v>0</v>
      </c>
      <c r="E3910" s="156">
        <f>'Reported burning'!E3910</f>
        <v>0</v>
      </c>
      <c r="F3910" s="156">
        <f>'Reported burning'!F3910</f>
        <v>0</v>
      </c>
      <c r="G3910" s="156">
        <f>'Reported burning'!G3910</f>
        <v>0</v>
      </c>
      <c r="H3910" s="156">
        <f>'Reported burning'!H3910</f>
        <v>0</v>
      </c>
      <c r="I3910" s="5"/>
    </row>
    <row r="3911" spans="1:9">
      <c r="A3911" s="156">
        <f>'Reported burning'!A3911</f>
        <v>0</v>
      </c>
      <c r="B3911" s="156">
        <f>'Reported burning'!B3911</f>
        <v>0</v>
      </c>
      <c r="C3911" s="156">
        <f>'Reported burning'!C3911</f>
        <v>0</v>
      </c>
      <c r="D3911" s="156">
        <f>'Reported burning'!D3911</f>
        <v>0</v>
      </c>
      <c r="E3911" s="156">
        <f>'Reported burning'!E3911</f>
        <v>0</v>
      </c>
      <c r="F3911" s="156">
        <f>'Reported burning'!F3911</f>
        <v>0</v>
      </c>
      <c r="G3911" s="156">
        <f>'Reported burning'!G3911</f>
        <v>0</v>
      </c>
      <c r="H3911" s="156">
        <f>'Reported burning'!H3911</f>
        <v>0</v>
      </c>
      <c r="I3911" s="5"/>
    </row>
    <row r="3912" spans="1:9">
      <c r="A3912" s="156">
        <f>'Reported burning'!A3912</f>
        <v>0</v>
      </c>
      <c r="B3912" s="156">
        <f>'Reported burning'!B3912</f>
        <v>0</v>
      </c>
      <c r="C3912" s="156">
        <f>'Reported burning'!C3912</f>
        <v>0</v>
      </c>
      <c r="D3912" s="156">
        <f>'Reported burning'!D3912</f>
        <v>0</v>
      </c>
      <c r="E3912" s="156">
        <f>'Reported burning'!E3912</f>
        <v>0</v>
      </c>
      <c r="F3912" s="156">
        <f>'Reported burning'!F3912</f>
        <v>0</v>
      </c>
      <c r="G3912" s="156">
        <f>'Reported burning'!G3912</f>
        <v>0</v>
      </c>
      <c r="H3912" s="156">
        <f>'Reported burning'!H3912</f>
        <v>0</v>
      </c>
      <c r="I3912" s="5"/>
    </row>
    <row r="3913" spans="1:9">
      <c r="A3913" s="156">
        <f>'Reported burning'!A3913</f>
        <v>0</v>
      </c>
      <c r="B3913" s="156">
        <f>'Reported burning'!B3913</f>
        <v>0</v>
      </c>
      <c r="C3913" s="156">
        <f>'Reported burning'!C3913</f>
        <v>0</v>
      </c>
      <c r="D3913" s="156">
        <f>'Reported burning'!D3913</f>
        <v>0</v>
      </c>
      <c r="E3913" s="156">
        <f>'Reported burning'!E3913</f>
        <v>0</v>
      </c>
      <c r="F3913" s="156">
        <f>'Reported burning'!F3913</f>
        <v>0</v>
      </c>
      <c r="G3913" s="156">
        <f>'Reported burning'!G3913</f>
        <v>0</v>
      </c>
      <c r="H3913" s="156">
        <f>'Reported burning'!H3913</f>
        <v>0</v>
      </c>
      <c r="I3913" s="5"/>
    </row>
    <row r="3914" spans="1:9">
      <c r="A3914" s="156">
        <f>'Reported burning'!A3914</f>
        <v>0</v>
      </c>
      <c r="B3914" s="156">
        <f>'Reported burning'!B3914</f>
        <v>0</v>
      </c>
      <c r="C3914" s="156">
        <f>'Reported burning'!C3914</f>
        <v>0</v>
      </c>
      <c r="D3914" s="156">
        <f>'Reported burning'!D3914</f>
        <v>0</v>
      </c>
      <c r="E3914" s="156">
        <f>'Reported burning'!E3914</f>
        <v>0</v>
      </c>
      <c r="F3914" s="156">
        <f>'Reported burning'!F3914</f>
        <v>0</v>
      </c>
      <c r="G3914" s="156">
        <f>'Reported burning'!G3914</f>
        <v>0</v>
      </c>
      <c r="H3914" s="156">
        <f>'Reported burning'!H3914</f>
        <v>0</v>
      </c>
      <c r="I3914" s="5"/>
    </row>
    <row r="3915" spans="1:9">
      <c r="A3915" s="156">
        <f>'Reported burning'!A3915</f>
        <v>0</v>
      </c>
      <c r="B3915" s="156">
        <f>'Reported burning'!B3915</f>
        <v>0</v>
      </c>
      <c r="C3915" s="156">
        <f>'Reported burning'!C3915</f>
        <v>0</v>
      </c>
      <c r="D3915" s="156">
        <f>'Reported burning'!D3915</f>
        <v>0</v>
      </c>
      <c r="E3915" s="156">
        <f>'Reported burning'!E3915</f>
        <v>0</v>
      </c>
      <c r="F3915" s="156">
        <f>'Reported burning'!F3915</f>
        <v>0</v>
      </c>
      <c r="G3915" s="156">
        <f>'Reported burning'!G3915</f>
        <v>0</v>
      </c>
      <c r="H3915" s="156">
        <f>'Reported burning'!H3915</f>
        <v>0</v>
      </c>
      <c r="I3915" s="5"/>
    </row>
    <row r="3916" spans="1:9">
      <c r="A3916" s="156">
        <f>'Reported burning'!A3916</f>
        <v>0</v>
      </c>
      <c r="B3916" s="156">
        <f>'Reported burning'!B3916</f>
        <v>0</v>
      </c>
      <c r="C3916" s="156">
        <f>'Reported burning'!C3916</f>
        <v>0</v>
      </c>
      <c r="D3916" s="156">
        <f>'Reported burning'!D3916</f>
        <v>0</v>
      </c>
      <c r="E3916" s="156">
        <f>'Reported burning'!E3916</f>
        <v>0</v>
      </c>
      <c r="F3916" s="156">
        <f>'Reported burning'!F3916</f>
        <v>0</v>
      </c>
      <c r="G3916" s="156">
        <f>'Reported burning'!G3916</f>
        <v>0</v>
      </c>
      <c r="H3916" s="156">
        <f>'Reported burning'!H3916</f>
        <v>0</v>
      </c>
      <c r="I3916" s="5"/>
    </row>
    <row r="3917" spans="1:9">
      <c r="A3917" s="156">
        <f>'Reported burning'!A3917</f>
        <v>0</v>
      </c>
      <c r="B3917" s="156">
        <f>'Reported burning'!B3917</f>
        <v>0</v>
      </c>
      <c r="C3917" s="156">
        <f>'Reported burning'!C3917</f>
        <v>0</v>
      </c>
      <c r="D3917" s="156">
        <f>'Reported burning'!D3917</f>
        <v>0</v>
      </c>
      <c r="E3917" s="156">
        <f>'Reported burning'!E3917</f>
        <v>0</v>
      </c>
      <c r="F3917" s="156">
        <f>'Reported burning'!F3917</f>
        <v>0</v>
      </c>
      <c r="G3917" s="156">
        <f>'Reported burning'!G3917</f>
        <v>0</v>
      </c>
      <c r="H3917" s="156">
        <f>'Reported burning'!H3917</f>
        <v>0</v>
      </c>
      <c r="I3917" s="5"/>
    </row>
    <row r="3918" spans="1:9">
      <c r="A3918" s="156">
        <f>'Reported burning'!A3918</f>
        <v>0</v>
      </c>
      <c r="B3918" s="156">
        <f>'Reported burning'!B3918</f>
        <v>0</v>
      </c>
      <c r="C3918" s="156">
        <f>'Reported burning'!C3918</f>
        <v>0</v>
      </c>
      <c r="D3918" s="156">
        <f>'Reported burning'!D3918</f>
        <v>0</v>
      </c>
      <c r="E3918" s="156">
        <f>'Reported burning'!E3918</f>
        <v>0</v>
      </c>
      <c r="F3918" s="156">
        <f>'Reported burning'!F3918</f>
        <v>0</v>
      </c>
      <c r="G3918" s="156">
        <f>'Reported burning'!G3918</f>
        <v>0</v>
      </c>
      <c r="H3918" s="156">
        <f>'Reported burning'!H3918</f>
        <v>0</v>
      </c>
      <c r="I3918" s="5"/>
    </row>
    <row r="3919" spans="1:9">
      <c r="A3919" s="156">
        <f>'Reported burning'!A3919</f>
        <v>0</v>
      </c>
      <c r="B3919" s="156">
        <f>'Reported burning'!B3919</f>
        <v>0</v>
      </c>
      <c r="C3919" s="156">
        <f>'Reported burning'!C3919</f>
        <v>0</v>
      </c>
      <c r="D3919" s="156">
        <f>'Reported burning'!D3919</f>
        <v>0</v>
      </c>
      <c r="E3919" s="156">
        <f>'Reported burning'!E3919</f>
        <v>0</v>
      </c>
      <c r="F3919" s="156">
        <f>'Reported burning'!F3919</f>
        <v>0</v>
      </c>
      <c r="G3919" s="156">
        <f>'Reported burning'!G3919</f>
        <v>0</v>
      </c>
      <c r="H3919" s="156">
        <f>'Reported burning'!H3919</f>
        <v>0</v>
      </c>
      <c r="I3919" s="5"/>
    </row>
    <row r="3920" spans="1:9">
      <c r="A3920" s="156">
        <f>'Reported burning'!A3920</f>
        <v>0</v>
      </c>
      <c r="B3920" s="156">
        <f>'Reported burning'!B3920</f>
        <v>0</v>
      </c>
      <c r="C3920" s="156">
        <f>'Reported burning'!C3920</f>
        <v>0</v>
      </c>
      <c r="D3920" s="156">
        <f>'Reported burning'!D3920</f>
        <v>0</v>
      </c>
      <c r="E3920" s="156">
        <f>'Reported burning'!E3920</f>
        <v>0</v>
      </c>
      <c r="F3920" s="156">
        <f>'Reported burning'!F3920</f>
        <v>0</v>
      </c>
      <c r="G3920" s="156">
        <f>'Reported burning'!G3920</f>
        <v>0</v>
      </c>
      <c r="H3920" s="156">
        <f>'Reported burning'!H3920</f>
        <v>0</v>
      </c>
      <c r="I3920" s="5"/>
    </row>
    <row r="3921" spans="1:9">
      <c r="A3921" s="156">
        <f>'Reported burning'!A3921</f>
        <v>0</v>
      </c>
      <c r="B3921" s="156">
        <f>'Reported burning'!B3921</f>
        <v>0</v>
      </c>
      <c r="C3921" s="156">
        <f>'Reported burning'!C3921</f>
        <v>0</v>
      </c>
      <c r="D3921" s="156">
        <f>'Reported burning'!D3921</f>
        <v>0</v>
      </c>
      <c r="E3921" s="156">
        <f>'Reported burning'!E3921</f>
        <v>0</v>
      </c>
      <c r="F3921" s="156">
        <f>'Reported burning'!F3921</f>
        <v>0</v>
      </c>
      <c r="G3921" s="156">
        <f>'Reported burning'!G3921</f>
        <v>0</v>
      </c>
      <c r="H3921" s="156">
        <f>'Reported burning'!H3921</f>
        <v>0</v>
      </c>
      <c r="I3921" s="5"/>
    </row>
    <row r="3922" spans="1:9">
      <c r="A3922" s="156">
        <f>'Reported burning'!A3922</f>
        <v>0</v>
      </c>
      <c r="B3922" s="156">
        <f>'Reported burning'!B3922</f>
        <v>0</v>
      </c>
      <c r="C3922" s="156">
        <f>'Reported burning'!C3922</f>
        <v>0</v>
      </c>
      <c r="D3922" s="156">
        <f>'Reported burning'!D3922</f>
        <v>0</v>
      </c>
      <c r="E3922" s="156">
        <f>'Reported burning'!E3922</f>
        <v>0</v>
      </c>
      <c r="F3922" s="156">
        <f>'Reported burning'!F3922</f>
        <v>0</v>
      </c>
      <c r="G3922" s="156">
        <f>'Reported burning'!G3922</f>
        <v>0</v>
      </c>
      <c r="H3922" s="156">
        <f>'Reported burning'!H3922</f>
        <v>0</v>
      </c>
      <c r="I3922" s="5"/>
    </row>
    <row r="3923" spans="1:9">
      <c r="A3923" s="156">
        <f>'Reported burning'!A3923</f>
        <v>0</v>
      </c>
      <c r="B3923" s="156">
        <f>'Reported burning'!B3923</f>
        <v>0</v>
      </c>
      <c r="C3923" s="156">
        <f>'Reported burning'!C3923</f>
        <v>0</v>
      </c>
      <c r="D3923" s="156">
        <f>'Reported burning'!D3923</f>
        <v>0</v>
      </c>
      <c r="E3923" s="156">
        <f>'Reported burning'!E3923</f>
        <v>0</v>
      </c>
      <c r="F3923" s="156">
        <f>'Reported burning'!F3923</f>
        <v>0</v>
      </c>
      <c r="G3923" s="156">
        <f>'Reported burning'!G3923</f>
        <v>0</v>
      </c>
      <c r="H3923" s="156">
        <f>'Reported burning'!H3923</f>
        <v>0</v>
      </c>
      <c r="I3923" s="5"/>
    </row>
    <row r="3924" spans="1:9">
      <c r="A3924" s="156">
        <f>'Reported burning'!A3924</f>
        <v>0</v>
      </c>
      <c r="B3924" s="156">
        <f>'Reported burning'!B3924</f>
        <v>0</v>
      </c>
      <c r="C3924" s="156">
        <f>'Reported burning'!C3924</f>
        <v>0</v>
      </c>
      <c r="D3924" s="156">
        <f>'Reported burning'!D3924</f>
        <v>0</v>
      </c>
      <c r="E3924" s="156">
        <f>'Reported burning'!E3924</f>
        <v>0</v>
      </c>
      <c r="F3924" s="156">
        <f>'Reported burning'!F3924</f>
        <v>0</v>
      </c>
      <c r="G3924" s="156">
        <f>'Reported burning'!G3924</f>
        <v>0</v>
      </c>
      <c r="H3924" s="156">
        <f>'Reported burning'!H3924</f>
        <v>0</v>
      </c>
      <c r="I3924" s="5"/>
    </row>
    <row r="3925" spans="1:9">
      <c r="A3925" s="156">
        <f>'Reported burning'!A3925</f>
        <v>0</v>
      </c>
      <c r="B3925" s="156">
        <f>'Reported burning'!B3925</f>
        <v>0</v>
      </c>
      <c r="C3925" s="156">
        <f>'Reported burning'!C3925</f>
        <v>0</v>
      </c>
      <c r="D3925" s="156">
        <f>'Reported burning'!D3925</f>
        <v>0</v>
      </c>
      <c r="E3925" s="156">
        <f>'Reported burning'!E3925</f>
        <v>0</v>
      </c>
      <c r="F3925" s="156">
        <f>'Reported burning'!F3925</f>
        <v>0</v>
      </c>
      <c r="G3925" s="156">
        <f>'Reported burning'!G3925</f>
        <v>0</v>
      </c>
      <c r="H3925" s="156">
        <f>'Reported burning'!H3925</f>
        <v>0</v>
      </c>
      <c r="I3925" s="5"/>
    </row>
    <row r="3926" spans="1:9">
      <c r="A3926" s="156">
        <f>'Reported burning'!A3926</f>
        <v>0</v>
      </c>
      <c r="B3926" s="156">
        <f>'Reported burning'!B3926</f>
        <v>0</v>
      </c>
      <c r="C3926" s="156">
        <f>'Reported burning'!C3926</f>
        <v>0</v>
      </c>
      <c r="D3926" s="156">
        <f>'Reported burning'!D3926</f>
        <v>0</v>
      </c>
      <c r="E3926" s="156">
        <f>'Reported burning'!E3926</f>
        <v>0</v>
      </c>
      <c r="F3926" s="156">
        <f>'Reported burning'!F3926</f>
        <v>0</v>
      </c>
      <c r="G3926" s="156">
        <f>'Reported burning'!G3926</f>
        <v>0</v>
      </c>
      <c r="H3926" s="156">
        <f>'Reported burning'!H3926</f>
        <v>0</v>
      </c>
      <c r="I3926" s="5"/>
    </row>
    <row r="3927" spans="1:9">
      <c r="A3927" s="156">
        <f>'Reported burning'!A3927</f>
        <v>0</v>
      </c>
      <c r="B3927" s="156">
        <f>'Reported burning'!B3927</f>
        <v>0</v>
      </c>
      <c r="C3927" s="156">
        <f>'Reported burning'!C3927</f>
        <v>0</v>
      </c>
      <c r="D3927" s="156">
        <f>'Reported burning'!D3927</f>
        <v>0</v>
      </c>
      <c r="E3927" s="156">
        <f>'Reported burning'!E3927</f>
        <v>0</v>
      </c>
      <c r="F3927" s="156">
        <f>'Reported burning'!F3927</f>
        <v>0</v>
      </c>
      <c r="G3927" s="156">
        <f>'Reported burning'!G3927</f>
        <v>0</v>
      </c>
      <c r="H3927" s="156">
        <f>'Reported burning'!H3927</f>
        <v>0</v>
      </c>
      <c r="I3927" s="5"/>
    </row>
    <row r="3928" spans="1:9">
      <c r="A3928" s="156">
        <f>'Reported burning'!A3928</f>
        <v>0</v>
      </c>
      <c r="B3928" s="156">
        <f>'Reported burning'!B3928</f>
        <v>0</v>
      </c>
      <c r="C3928" s="156">
        <f>'Reported burning'!C3928</f>
        <v>0</v>
      </c>
      <c r="D3928" s="156">
        <f>'Reported burning'!D3928</f>
        <v>0</v>
      </c>
      <c r="E3928" s="156">
        <f>'Reported burning'!E3928</f>
        <v>0</v>
      </c>
      <c r="F3928" s="156">
        <f>'Reported burning'!F3928</f>
        <v>0</v>
      </c>
      <c r="G3928" s="156">
        <f>'Reported burning'!G3928</f>
        <v>0</v>
      </c>
      <c r="H3928" s="156">
        <f>'Reported burning'!H3928</f>
        <v>0</v>
      </c>
      <c r="I3928" s="5"/>
    </row>
    <row r="3929" spans="1:9">
      <c r="A3929" s="156">
        <f>'Reported burning'!A3929</f>
        <v>0</v>
      </c>
      <c r="B3929" s="156">
        <f>'Reported burning'!B3929</f>
        <v>0</v>
      </c>
      <c r="C3929" s="156">
        <f>'Reported burning'!C3929</f>
        <v>0</v>
      </c>
      <c r="D3929" s="156">
        <f>'Reported burning'!D3929</f>
        <v>0</v>
      </c>
      <c r="E3929" s="156">
        <f>'Reported burning'!E3929</f>
        <v>0</v>
      </c>
      <c r="F3929" s="156">
        <f>'Reported burning'!F3929</f>
        <v>0</v>
      </c>
      <c r="G3929" s="156">
        <f>'Reported burning'!G3929</f>
        <v>0</v>
      </c>
      <c r="H3929" s="156">
        <f>'Reported burning'!H3929</f>
        <v>0</v>
      </c>
      <c r="I3929" s="5"/>
    </row>
    <row r="3930" spans="1:9">
      <c r="A3930" s="156">
        <f>'Reported burning'!A3930</f>
        <v>0</v>
      </c>
      <c r="B3930" s="156">
        <f>'Reported burning'!B3930</f>
        <v>0</v>
      </c>
      <c r="C3930" s="156">
        <f>'Reported burning'!C3930</f>
        <v>0</v>
      </c>
      <c r="D3930" s="156">
        <f>'Reported burning'!D3930</f>
        <v>0</v>
      </c>
      <c r="E3930" s="156">
        <f>'Reported burning'!E3930</f>
        <v>0</v>
      </c>
      <c r="F3930" s="156">
        <f>'Reported burning'!F3930</f>
        <v>0</v>
      </c>
      <c r="G3930" s="156">
        <f>'Reported burning'!G3930</f>
        <v>0</v>
      </c>
      <c r="H3930" s="156">
        <f>'Reported burning'!H3930</f>
        <v>0</v>
      </c>
      <c r="I3930" s="5"/>
    </row>
    <row r="3931" spans="1:9">
      <c r="A3931" s="156">
        <f>'Reported burning'!A3931</f>
        <v>0</v>
      </c>
      <c r="B3931" s="156">
        <f>'Reported burning'!B3931</f>
        <v>0</v>
      </c>
      <c r="C3931" s="156">
        <f>'Reported burning'!C3931</f>
        <v>0</v>
      </c>
      <c r="D3931" s="156">
        <f>'Reported burning'!D3931</f>
        <v>0</v>
      </c>
      <c r="E3931" s="156">
        <f>'Reported burning'!E3931</f>
        <v>0</v>
      </c>
      <c r="F3931" s="156">
        <f>'Reported burning'!F3931</f>
        <v>0</v>
      </c>
      <c r="G3931" s="156">
        <f>'Reported burning'!G3931</f>
        <v>0</v>
      </c>
      <c r="H3931" s="156">
        <f>'Reported burning'!H3931</f>
        <v>0</v>
      </c>
      <c r="I3931" s="5"/>
    </row>
    <row r="3932" spans="1:9">
      <c r="A3932" s="156">
        <f>'Reported burning'!A3932</f>
        <v>0</v>
      </c>
      <c r="B3932" s="156">
        <f>'Reported burning'!B3932</f>
        <v>0</v>
      </c>
      <c r="C3932" s="156">
        <f>'Reported burning'!C3932</f>
        <v>0</v>
      </c>
      <c r="D3932" s="156">
        <f>'Reported burning'!D3932</f>
        <v>0</v>
      </c>
      <c r="E3932" s="156">
        <f>'Reported burning'!E3932</f>
        <v>0</v>
      </c>
      <c r="F3932" s="156">
        <f>'Reported burning'!F3932</f>
        <v>0</v>
      </c>
      <c r="G3932" s="156">
        <f>'Reported burning'!G3932</f>
        <v>0</v>
      </c>
      <c r="H3932" s="156">
        <f>'Reported burning'!H3932</f>
        <v>0</v>
      </c>
      <c r="I3932" s="5"/>
    </row>
    <row r="3933" spans="1:9">
      <c r="A3933" s="156">
        <f>'Reported burning'!A3933</f>
        <v>0</v>
      </c>
      <c r="B3933" s="156">
        <f>'Reported burning'!B3933</f>
        <v>0</v>
      </c>
      <c r="C3933" s="156">
        <f>'Reported burning'!C3933</f>
        <v>0</v>
      </c>
      <c r="D3933" s="156">
        <f>'Reported burning'!D3933</f>
        <v>0</v>
      </c>
      <c r="E3933" s="156">
        <f>'Reported burning'!E3933</f>
        <v>0</v>
      </c>
      <c r="F3933" s="156">
        <f>'Reported burning'!F3933</f>
        <v>0</v>
      </c>
      <c r="G3933" s="156">
        <f>'Reported burning'!G3933</f>
        <v>0</v>
      </c>
      <c r="H3933" s="156">
        <f>'Reported burning'!H3933</f>
        <v>0</v>
      </c>
      <c r="I3933" s="5"/>
    </row>
    <row r="3934" spans="1:9">
      <c r="A3934" s="156">
        <f>'Reported burning'!A3934</f>
        <v>0</v>
      </c>
      <c r="B3934" s="156">
        <f>'Reported burning'!B3934</f>
        <v>0</v>
      </c>
      <c r="C3934" s="156">
        <f>'Reported burning'!C3934</f>
        <v>0</v>
      </c>
      <c r="D3934" s="156">
        <f>'Reported burning'!D3934</f>
        <v>0</v>
      </c>
      <c r="E3934" s="156">
        <f>'Reported burning'!E3934</f>
        <v>0</v>
      </c>
      <c r="F3934" s="156">
        <f>'Reported burning'!F3934</f>
        <v>0</v>
      </c>
      <c r="G3934" s="156">
        <f>'Reported burning'!G3934</f>
        <v>0</v>
      </c>
      <c r="H3934" s="156">
        <f>'Reported burning'!H3934</f>
        <v>0</v>
      </c>
      <c r="I3934" s="5"/>
    </row>
    <row r="3935" spans="1:9">
      <c r="A3935" s="156">
        <f>'Reported burning'!A3935</f>
        <v>0</v>
      </c>
      <c r="B3935" s="156">
        <f>'Reported burning'!B3935</f>
        <v>0</v>
      </c>
      <c r="C3935" s="156">
        <f>'Reported burning'!C3935</f>
        <v>0</v>
      </c>
      <c r="D3935" s="156">
        <f>'Reported burning'!D3935</f>
        <v>0</v>
      </c>
      <c r="E3935" s="156">
        <f>'Reported burning'!E3935</f>
        <v>0</v>
      </c>
      <c r="F3935" s="156">
        <f>'Reported burning'!F3935</f>
        <v>0</v>
      </c>
      <c r="G3935" s="156">
        <f>'Reported burning'!G3935</f>
        <v>0</v>
      </c>
      <c r="H3935" s="156">
        <f>'Reported burning'!H3935</f>
        <v>0</v>
      </c>
      <c r="I3935" s="5"/>
    </row>
    <row r="3936" spans="1:9">
      <c r="A3936" s="156">
        <f>'Reported burning'!A3936</f>
        <v>0</v>
      </c>
      <c r="B3936" s="156">
        <f>'Reported burning'!B3936</f>
        <v>0</v>
      </c>
      <c r="C3936" s="156">
        <f>'Reported burning'!C3936</f>
        <v>0</v>
      </c>
      <c r="D3936" s="156">
        <f>'Reported burning'!D3936</f>
        <v>0</v>
      </c>
      <c r="E3936" s="156">
        <f>'Reported burning'!E3936</f>
        <v>0</v>
      </c>
      <c r="F3936" s="156">
        <f>'Reported burning'!F3936</f>
        <v>0</v>
      </c>
      <c r="G3936" s="156">
        <f>'Reported burning'!G3936</f>
        <v>0</v>
      </c>
      <c r="H3936" s="156">
        <f>'Reported burning'!H3936</f>
        <v>0</v>
      </c>
      <c r="I3936" s="5"/>
    </row>
    <row r="3937" spans="1:9">
      <c r="A3937" s="156">
        <f>'Reported burning'!A3937</f>
        <v>0</v>
      </c>
      <c r="B3937" s="156">
        <f>'Reported burning'!B3937</f>
        <v>0</v>
      </c>
      <c r="C3937" s="156">
        <f>'Reported burning'!C3937</f>
        <v>0</v>
      </c>
      <c r="D3937" s="156">
        <f>'Reported burning'!D3937</f>
        <v>0</v>
      </c>
      <c r="E3937" s="156">
        <f>'Reported burning'!E3937</f>
        <v>0</v>
      </c>
      <c r="F3937" s="156">
        <f>'Reported burning'!F3937</f>
        <v>0</v>
      </c>
      <c r="G3937" s="156">
        <f>'Reported burning'!G3937</f>
        <v>0</v>
      </c>
      <c r="H3937" s="156">
        <f>'Reported burning'!H3937</f>
        <v>0</v>
      </c>
      <c r="I3937" s="5"/>
    </row>
    <row r="3938" spans="1:9">
      <c r="A3938" s="156">
        <f>'Reported burning'!A3938</f>
        <v>0</v>
      </c>
      <c r="B3938" s="156">
        <f>'Reported burning'!B3938</f>
        <v>0</v>
      </c>
      <c r="C3938" s="156">
        <f>'Reported burning'!C3938</f>
        <v>0</v>
      </c>
      <c r="D3938" s="156">
        <f>'Reported burning'!D3938</f>
        <v>0</v>
      </c>
      <c r="E3938" s="156">
        <f>'Reported burning'!E3938</f>
        <v>0</v>
      </c>
      <c r="F3938" s="156">
        <f>'Reported burning'!F3938</f>
        <v>0</v>
      </c>
      <c r="G3938" s="156">
        <f>'Reported burning'!G3938</f>
        <v>0</v>
      </c>
      <c r="H3938" s="156">
        <f>'Reported burning'!H3938</f>
        <v>0</v>
      </c>
      <c r="I3938" s="5"/>
    </row>
    <row r="3939" spans="1:9">
      <c r="A3939" s="156">
        <f>'Reported burning'!A3939</f>
        <v>0</v>
      </c>
      <c r="B3939" s="156">
        <f>'Reported burning'!B3939</f>
        <v>0</v>
      </c>
      <c r="C3939" s="156">
        <f>'Reported burning'!C3939</f>
        <v>0</v>
      </c>
      <c r="D3939" s="156">
        <f>'Reported burning'!D3939</f>
        <v>0</v>
      </c>
      <c r="E3939" s="156">
        <f>'Reported burning'!E3939</f>
        <v>0</v>
      </c>
      <c r="F3939" s="156">
        <f>'Reported burning'!F3939</f>
        <v>0</v>
      </c>
      <c r="G3939" s="156">
        <f>'Reported burning'!G3939</f>
        <v>0</v>
      </c>
      <c r="H3939" s="156">
        <f>'Reported burning'!H3939</f>
        <v>0</v>
      </c>
      <c r="I3939" s="5"/>
    </row>
    <row r="3940" spans="1:9">
      <c r="A3940" s="156">
        <f>'Reported burning'!A3940</f>
        <v>0</v>
      </c>
      <c r="B3940" s="156">
        <f>'Reported burning'!B3940</f>
        <v>0</v>
      </c>
      <c r="C3940" s="156">
        <f>'Reported burning'!C3940</f>
        <v>0</v>
      </c>
      <c r="D3940" s="156">
        <f>'Reported burning'!D3940</f>
        <v>0</v>
      </c>
      <c r="E3940" s="156">
        <f>'Reported burning'!E3940</f>
        <v>0</v>
      </c>
      <c r="F3940" s="156">
        <f>'Reported burning'!F3940</f>
        <v>0</v>
      </c>
      <c r="G3940" s="156">
        <f>'Reported burning'!G3940</f>
        <v>0</v>
      </c>
      <c r="H3940" s="156">
        <f>'Reported burning'!H3940</f>
        <v>0</v>
      </c>
      <c r="I3940" s="5"/>
    </row>
    <row r="3941" spans="1:9">
      <c r="A3941" s="156">
        <f>'Reported burning'!A3941</f>
        <v>0</v>
      </c>
      <c r="B3941" s="156">
        <f>'Reported burning'!B3941</f>
        <v>0</v>
      </c>
      <c r="C3941" s="156">
        <f>'Reported burning'!C3941</f>
        <v>0</v>
      </c>
      <c r="D3941" s="156">
        <f>'Reported burning'!D3941</f>
        <v>0</v>
      </c>
      <c r="E3941" s="156">
        <f>'Reported burning'!E3941</f>
        <v>0</v>
      </c>
      <c r="F3941" s="156">
        <f>'Reported burning'!F3941</f>
        <v>0</v>
      </c>
      <c r="G3941" s="156">
        <f>'Reported burning'!G3941</f>
        <v>0</v>
      </c>
      <c r="H3941" s="156">
        <f>'Reported burning'!H3941</f>
        <v>0</v>
      </c>
      <c r="I3941" s="5"/>
    </row>
    <row r="3942" spans="1:9">
      <c r="A3942" s="156">
        <f>'Reported burning'!A3942</f>
        <v>0</v>
      </c>
      <c r="B3942" s="156">
        <f>'Reported burning'!B3942</f>
        <v>0</v>
      </c>
      <c r="C3942" s="156">
        <f>'Reported burning'!C3942</f>
        <v>0</v>
      </c>
      <c r="D3942" s="156">
        <f>'Reported burning'!D3942</f>
        <v>0</v>
      </c>
      <c r="E3942" s="156">
        <f>'Reported burning'!E3942</f>
        <v>0</v>
      </c>
      <c r="F3942" s="156">
        <f>'Reported burning'!F3942</f>
        <v>0</v>
      </c>
      <c r="G3942" s="156">
        <f>'Reported burning'!G3942</f>
        <v>0</v>
      </c>
      <c r="H3942" s="156">
        <f>'Reported burning'!H3942</f>
        <v>0</v>
      </c>
      <c r="I3942" s="5"/>
    </row>
    <row r="3943" spans="1:9">
      <c r="A3943" s="156">
        <f>'Reported burning'!A3943</f>
        <v>0</v>
      </c>
      <c r="B3943" s="156">
        <f>'Reported burning'!B3943</f>
        <v>0</v>
      </c>
      <c r="C3943" s="156">
        <f>'Reported burning'!C3943</f>
        <v>0</v>
      </c>
      <c r="D3943" s="156">
        <f>'Reported burning'!D3943</f>
        <v>0</v>
      </c>
      <c r="E3943" s="156">
        <f>'Reported burning'!E3943</f>
        <v>0</v>
      </c>
      <c r="F3943" s="156">
        <f>'Reported burning'!F3943</f>
        <v>0</v>
      </c>
      <c r="G3943" s="156">
        <f>'Reported burning'!G3943</f>
        <v>0</v>
      </c>
      <c r="H3943" s="156">
        <f>'Reported burning'!H3943</f>
        <v>0</v>
      </c>
      <c r="I3943" s="5"/>
    </row>
    <row r="3944" spans="1:9">
      <c r="A3944" s="156">
        <f>'Reported burning'!A3944</f>
        <v>0</v>
      </c>
      <c r="B3944" s="156">
        <f>'Reported burning'!B3944</f>
        <v>0</v>
      </c>
      <c r="C3944" s="156">
        <f>'Reported burning'!C3944</f>
        <v>0</v>
      </c>
      <c r="D3944" s="156">
        <f>'Reported burning'!D3944</f>
        <v>0</v>
      </c>
      <c r="E3944" s="156">
        <f>'Reported burning'!E3944</f>
        <v>0</v>
      </c>
      <c r="F3944" s="156">
        <f>'Reported burning'!F3944</f>
        <v>0</v>
      </c>
      <c r="G3944" s="156">
        <f>'Reported burning'!G3944</f>
        <v>0</v>
      </c>
      <c r="H3944" s="156">
        <f>'Reported burning'!H3944</f>
        <v>0</v>
      </c>
      <c r="I3944" s="5"/>
    </row>
    <row r="3945" spans="1:9">
      <c r="A3945" s="156">
        <f>'Reported burning'!A3945</f>
        <v>0</v>
      </c>
      <c r="B3945" s="156">
        <f>'Reported burning'!B3945</f>
        <v>0</v>
      </c>
      <c r="C3945" s="156">
        <f>'Reported burning'!C3945</f>
        <v>0</v>
      </c>
      <c r="D3945" s="156">
        <f>'Reported burning'!D3945</f>
        <v>0</v>
      </c>
      <c r="E3945" s="156">
        <f>'Reported burning'!E3945</f>
        <v>0</v>
      </c>
      <c r="F3945" s="156">
        <f>'Reported burning'!F3945</f>
        <v>0</v>
      </c>
      <c r="G3945" s="156">
        <f>'Reported burning'!G3945</f>
        <v>0</v>
      </c>
      <c r="H3945" s="156">
        <f>'Reported burning'!H3945</f>
        <v>0</v>
      </c>
      <c r="I3945" s="5"/>
    </row>
    <row r="3946" spans="1:9">
      <c r="A3946" s="156">
        <f>'Reported burning'!A3946</f>
        <v>0</v>
      </c>
      <c r="B3946" s="156">
        <f>'Reported burning'!B3946</f>
        <v>0</v>
      </c>
      <c r="C3946" s="156">
        <f>'Reported burning'!C3946</f>
        <v>0</v>
      </c>
      <c r="D3946" s="156">
        <f>'Reported burning'!D3946</f>
        <v>0</v>
      </c>
      <c r="E3946" s="156">
        <f>'Reported burning'!E3946</f>
        <v>0</v>
      </c>
      <c r="F3946" s="156">
        <f>'Reported burning'!F3946</f>
        <v>0</v>
      </c>
      <c r="G3946" s="156">
        <f>'Reported burning'!G3946</f>
        <v>0</v>
      </c>
      <c r="H3946" s="156">
        <f>'Reported burning'!H3946</f>
        <v>0</v>
      </c>
      <c r="I3946" s="5"/>
    </row>
    <row r="3947" spans="1:9">
      <c r="A3947" s="156">
        <f>'Reported burning'!A3947</f>
        <v>0</v>
      </c>
      <c r="B3947" s="156">
        <f>'Reported burning'!B3947</f>
        <v>0</v>
      </c>
      <c r="C3947" s="156">
        <f>'Reported burning'!C3947</f>
        <v>0</v>
      </c>
      <c r="D3947" s="156">
        <f>'Reported burning'!D3947</f>
        <v>0</v>
      </c>
      <c r="E3947" s="156">
        <f>'Reported burning'!E3947</f>
        <v>0</v>
      </c>
      <c r="F3947" s="156">
        <f>'Reported burning'!F3947</f>
        <v>0</v>
      </c>
      <c r="G3947" s="156">
        <f>'Reported burning'!G3947</f>
        <v>0</v>
      </c>
      <c r="H3947" s="156">
        <f>'Reported burning'!H3947</f>
        <v>0</v>
      </c>
      <c r="I3947" s="5"/>
    </row>
    <row r="3948" spans="1:9">
      <c r="A3948" s="156">
        <f>'Reported burning'!A3948</f>
        <v>0</v>
      </c>
      <c r="B3948" s="156">
        <f>'Reported burning'!B3948</f>
        <v>0</v>
      </c>
      <c r="C3948" s="156">
        <f>'Reported burning'!C3948</f>
        <v>0</v>
      </c>
      <c r="D3948" s="156">
        <f>'Reported burning'!D3948</f>
        <v>0</v>
      </c>
      <c r="E3948" s="156">
        <f>'Reported burning'!E3948</f>
        <v>0</v>
      </c>
      <c r="F3948" s="156">
        <f>'Reported burning'!F3948</f>
        <v>0</v>
      </c>
      <c r="G3948" s="156">
        <f>'Reported burning'!G3948</f>
        <v>0</v>
      </c>
      <c r="H3948" s="156">
        <f>'Reported burning'!H3948</f>
        <v>0</v>
      </c>
      <c r="I3948" s="5"/>
    </row>
    <row r="3949" spans="1:9">
      <c r="A3949" s="156">
        <f>'Reported burning'!A3949</f>
        <v>0</v>
      </c>
      <c r="B3949" s="156">
        <f>'Reported burning'!B3949</f>
        <v>0</v>
      </c>
      <c r="C3949" s="156">
        <f>'Reported burning'!C3949</f>
        <v>0</v>
      </c>
      <c r="D3949" s="156">
        <f>'Reported burning'!D3949</f>
        <v>0</v>
      </c>
      <c r="E3949" s="156">
        <f>'Reported burning'!E3949</f>
        <v>0</v>
      </c>
      <c r="F3949" s="156">
        <f>'Reported burning'!F3949</f>
        <v>0</v>
      </c>
      <c r="G3949" s="156">
        <f>'Reported burning'!G3949</f>
        <v>0</v>
      </c>
      <c r="H3949" s="156">
        <f>'Reported burning'!H3949</f>
        <v>0</v>
      </c>
      <c r="I3949" s="5"/>
    </row>
    <row r="3950" spans="1:9">
      <c r="A3950" s="156">
        <f>'Reported burning'!A3950</f>
        <v>0</v>
      </c>
      <c r="B3950" s="156">
        <f>'Reported burning'!B3950</f>
        <v>0</v>
      </c>
      <c r="C3950" s="156">
        <f>'Reported burning'!C3950</f>
        <v>0</v>
      </c>
      <c r="D3950" s="156">
        <f>'Reported burning'!D3950</f>
        <v>0</v>
      </c>
      <c r="E3950" s="156">
        <f>'Reported burning'!E3950</f>
        <v>0</v>
      </c>
      <c r="F3950" s="156">
        <f>'Reported burning'!F3950</f>
        <v>0</v>
      </c>
      <c r="G3950" s="156">
        <f>'Reported burning'!G3950</f>
        <v>0</v>
      </c>
      <c r="H3950" s="156">
        <f>'Reported burning'!H3950</f>
        <v>0</v>
      </c>
      <c r="I3950" s="5"/>
    </row>
    <row r="3951" spans="1:9">
      <c r="A3951" s="156">
        <f>'Reported burning'!A3951</f>
        <v>0</v>
      </c>
      <c r="B3951" s="156">
        <f>'Reported burning'!B3951</f>
        <v>0</v>
      </c>
      <c r="C3951" s="156">
        <f>'Reported burning'!C3951</f>
        <v>0</v>
      </c>
      <c r="D3951" s="156">
        <f>'Reported burning'!D3951</f>
        <v>0</v>
      </c>
      <c r="E3951" s="156">
        <f>'Reported burning'!E3951</f>
        <v>0</v>
      </c>
      <c r="F3951" s="156">
        <f>'Reported burning'!F3951</f>
        <v>0</v>
      </c>
      <c r="G3951" s="156">
        <f>'Reported burning'!G3951</f>
        <v>0</v>
      </c>
      <c r="H3951" s="156">
        <f>'Reported burning'!H3951</f>
        <v>0</v>
      </c>
      <c r="I3951" s="5"/>
    </row>
    <row r="3952" spans="1:9">
      <c r="A3952" s="156">
        <f>'Reported burning'!A3952</f>
        <v>0</v>
      </c>
      <c r="B3952" s="156">
        <f>'Reported burning'!B3952</f>
        <v>0</v>
      </c>
      <c r="C3952" s="156">
        <f>'Reported burning'!C3952</f>
        <v>0</v>
      </c>
      <c r="D3952" s="156">
        <f>'Reported burning'!D3952</f>
        <v>0</v>
      </c>
      <c r="E3952" s="156">
        <f>'Reported burning'!E3952</f>
        <v>0</v>
      </c>
      <c r="F3952" s="156">
        <f>'Reported burning'!F3952</f>
        <v>0</v>
      </c>
      <c r="G3952" s="156">
        <f>'Reported burning'!G3952</f>
        <v>0</v>
      </c>
      <c r="H3952" s="156">
        <f>'Reported burning'!H3952</f>
        <v>0</v>
      </c>
      <c r="I3952" s="5"/>
    </row>
    <row r="3953" spans="1:9">
      <c r="A3953" s="156">
        <f>'Reported burning'!A3953</f>
        <v>0</v>
      </c>
      <c r="B3953" s="156">
        <f>'Reported burning'!B3953</f>
        <v>0</v>
      </c>
      <c r="C3953" s="156">
        <f>'Reported burning'!C3953</f>
        <v>0</v>
      </c>
      <c r="D3953" s="156">
        <f>'Reported burning'!D3953</f>
        <v>0</v>
      </c>
      <c r="E3953" s="156">
        <f>'Reported burning'!E3953</f>
        <v>0</v>
      </c>
      <c r="F3953" s="156">
        <f>'Reported burning'!F3953</f>
        <v>0</v>
      </c>
      <c r="G3953" s="156">
        <f>'Reported burning'!G3953</f>
        <v>0</v>
      </c>
      <c r="H3953" s="156">
        <f>'Reported burning'!H3953</f>
        <v>0</v>
      </c>
      <c r="I3953" s="5"/>
    </row>
    <row r="3954" spans="1:9">
      <c r="A3954" s="156">
        <f>'Reported burning'!A3954</f>
        <v>0</v>
      </c>
      <c r="B3954" s="156">
        <f>'Reported burning'!B3954</f>
        <v>0</v>
      </c>
      <c r="C3954" s="156">
        <f>'Reported burning'!C3954</f>
        <v>0</v>
      </c>
      <c r="D3954" s="156">
        <f>'Reported burning'!D3954</f>
        <v>0</v>
      </c>
      <c r="E3954" s="156">
        <f>'Reported burning'!E3954</f>
        <v>0</v>
      </c>
      <c r="F3954" s="156">
        <f>'Reported burning'!F3954</f>
        <v>0</v>
      </c>
      <c r="G3954" s="156">
        <f>'Reported burning'!G3954</f>
        <v>0</v>
      </c>
      <c r="H3954" s="156">
        <f>'Reported burning'!H3954</f>
        <v>0</v>
      </c>
      <c r="I3954" s="5"/>
    </row>
    <row r="3955" spans="1:9">
      <c r="A3955" s="156">
        <f>'Reported burning'!A3955</f>
        <v>0</v>
      </c>
      <c r="B3955" s="156">
        <f>'Reported burning'!B3955</f>
        <v>0</v>
      </c>
      <c r="C3955" s="156">
        <f>'Reported burning'!C3955</f>
        <v>0</v>
      </c>
      <c r="D3955" s="156">
        <f>'Reported burning'!D3955</f>
        <v>0</v>
      </c>
      <c r="E3955" s="156">
        <f>'Reported burning'!E3955</f>
        <v>0</v>
      </c>
      <c r="F3955" s="156">
        <f>'Reported burning'!F3955</f>
        <v>0</v>
      </c>
      <c r="G3955" s="156">
        <f>'Reported burning'!G3955</f>
        <v>0</v>
      </c>
      <c r="H3955" s="156">
        <f>'Reported burning'!H3955</f>
        <v>0</v>
      </c>
      <c r="I3955" s="5"/>
    </row>
    <row r="3956" spans="1:9">
      <c r="A3956" s="156">
        <f>'Reported burning'!A3956</f>
        <v>0</v>
      </c>
      <c r="B3956" s="156">
        <f>'Reported burning'!B3956</f>
        <v>0</v>
      </c>
      <c r="C3956" s="156">
        <f>'Reported burning'!C3956</f>
        <v>0</v>
      </c>
      <c r="D3956" s="156">
        <f>'Reported burning'!D3956</f>
        <v>0</v>
      </c>
      <c r="E3956" s="156">
        <f>'Reported burning'!E3956</f>
        <v>0</v>
      </c>
      <c r="F3956" s="156">
        <f>'Reported burning'!F3956</f>
        <v>0</v>
      </c>
      <c r="G3956" s="156">
        <f>'Reported burning'!G3956</f>
        <v>0</v>
      </c>
      <c r="H3956" s="156">
        <f>'Reported burning'!H3956</f>
        <v>0</v>
      </c>
      <c r="I3956" s="5"/>
    </row>
    <row r="3957" spans="1:9">
      <c r="A3957" s="156">
        <f>'Reported burning'!A3957</f>
        <v>0</v>
      </c>
      <c r="B3957" s="156">
        <f>'Reported burning'!B3957</f>
        <v>0</v>
      </c>
      <c r="C3957" s="156">
        <f>'Reported burning'!C3957</f>
        <v>0</v>
      </c>
      <c r="D3957" s="156">
        <f>'Reported burning'!D3957</f>
        <v>0</v>
      </c>
      <c r="E3957" s="156">
        <f>'Reported burning'!E3957</f>
        <v>0</v>
      </c>
      <c r="F3957" s="156">
        <f>'Reported burning'!F3957</f>
        <v>0</v>
      </c>
      <c r="G3957" s="156">
        <f>'Reported burning'!G3957</f>
        <v>0</v>
      </c>
      <c r="H3957" s="156">
        <f>'Reported burning'!H3957</f>
        <v>0</v>
      </c>
      <c r="I3957" s="5"/>
    </row>
    <row r="3958" spans="1:9">
      <c r="A3958" s="156">
        <f>'Reported burning'!A3958</f>
        <v>0</v>
      </c>
      <c r="B3958" s="156">
        <f>'Reported burning'!B3958</f>
        <v>0</v>
      </c>
      <c r="C3958" s="156">
        <f>'Reported burning'!C3958</f>
        <v>0</v>
      </c>
      <c r="D3958" s="156">
        <f>'Reported burning'!D3958</f>
        <v>0</v>
      </c>
      <c r="E3958" s="156">
        <f>'Reported burning'!E3958</f>
        <v>0</v>
      </c>
      <c r="F3958" s="156">
        <f>'Reported burning'!F3958</f>
        <v>0</v>
      </c>
      <c r="G3958" s="156">
        <f>'Reported burning'!G3958</f>
        <v>0</v>
      </c>
      <c r="H3958" s="156">
        <f>'Reported burning'!H3958</f>
        <v>0</v>
      </c>
      <c r="I3958" s="5"/>
    </row>
    <row r="3959" spans="1:9">
      <c r="A3959" s="156">
        <f>'Reported burning'!A3959</f>
        <v>0</v>
      </c>
      <c r="B3959" s="156">
        <f>'Reported burning'!B3959</f>
        <v>0</v>
      </c>
      <c r="C3959" s="156">
        <f>'Reported burning'!C3959</f>
        <v>0</v>
      </c>
      <c r="D3959" s="156">
        <f>'Reported burning'!D3959</f>
        <v>0</v>
      </c>
      <c r="E3959" s="156">
        <f>'Reported burning'!E3959</f>
        <v>0</v>
      </c>
      <c r="F3959" s="156">
        <f>'Reported burning'!F3959</f>
        <v>0</v>
      </c>
      <c r="G3959" s="156">
        <f>'Reported burning'!G3959</f>
        <v>0</v>
      </c>
      <c r="H3959" s="156">
        <f>'Reported burning'!H3959</f>
        <v>0</v>
      </c>
      <c r="I3959" s="5"/>
    </row>
    <row r="3960" spans="1:9">
      <c r="A3960" s="156">
        <f>'Reported burning'!A3960</f>
        <v>0</v>
      </c>
      <c r="B3960" s="156">
        <f>'Reported burning'!B3960</f>
        <v>0</v>
      </c>
      <c r="C3960" s="156">
        <f>'Reported burning'!C3960</f>
        <v>0</v>
      </c>
      <c r="D3960" s="156">
        <f>'Reported burning'!D3960</f>
        <v>0</v>
      </c>
      <c r="E3960" s="156">
        <f>'Reported burning'!E3960</f>
        <v>0</v>
      </c>
      <c r="F3960" s="156">
        <f>'Reported burning'!F3960</f>
        <v>0</v>
      </c>
      <c r="G3960" s="156">
        <f>'Reported burning'!G3960</f>
        <v>0</v>
      </c>
      <c r="H3960" s="156">
        <f>'Reported burning'!H3960</f>
        <v>0</v>
      </c>
      <c r="I3960" s="5"/>
    </row>
    <row r="3961" spans="1:9">
      <c r="A3961" s="156">
        <f>'Reported burning'!A3961</f>
        <v>0</v>
      </c>
      <c r="B3961" s="156">
        <f>'Reported burning'!B3961</f>
        <v>0</v>
      </c>
      <c r="C3961" s="156">
        <f>'Reported burning'!C3961</f>
        <v>0</v>
      </c>
      <c r="D3961" s="156">
        <f>'Reported burning'!D3961</f>
        <v>0</v>
      </c>
      <c r="E3961" s="156">
        <f>'Reported burning'!E3961</f>
        <v>0</v>
      </c>
      <c r="F3961" s="156">
        <f>'Reported burning'!F3961</f>
        <v>0</v>
      </c>
      <c r="G3961" s="156">
        <f>'Reported burning'!G3961</f>
        <v>0</v>
      </c>
      <c r="H3961" s="156">
        <f>'Reported burning'!H3961</f>
        <v>0</v>
      </c>
      <c r="I3961" s="5"/>
    </row>
    <row r="3962" spans="1:9">
      <c r="A3962" s="156">
        <f>'Reported burning'!A3962</f>
        <v>0</v>
      </c>
      <c r="B3962" s="156">
        <f>'Reported burning'!B3962</f>
        <v>0</v>
      </c>
      <c r="C3962" s="156">
        <f>'Reported burning'!C3962</f>
        <v>0</v>
      </c>
      <c r="D3962" s="156">
        <f>'Reported burning'!D3962</f>
        <v>0</v>
      </c>
      <c r="E3962" s="156">
        <f>'Reported burning'!E3962</f>
        <v>0</v>
      </c>
      <c r="F3962" s="156">
        <f>'Reported burning'!F3962</f>
        <v>0</v>
      </c>
      <c r="G3962" s="156">
        <f>'Reported burning'!G3962</f>
        <v>0</v>
      </c>
      <c r="H3962" s="156">
        <f>'Reported burning'!H3962</f>
        <v>0</v>
      </c>
      <c r="I3962" s="5"/>
    </row>
  </sheetData>
  <autoFilter ref="A1:A3962"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81" yWindow="392" count="6">
    <dataValidation type="whole" allowBlank="1" showInputMessage="1" showErrorMessage="1" prompt="Integer: leave blank if all study years" sqref="I805:I916 J1677:J1680 I589:I788 I1:I536 AA2132:AA2135 AB2130:AB2132 AA2562 I918:I1048576" xr:uid="{44BCFA16-E4FF-4DD8-A16E-C774E4872836}">
      <formula1>1900</formula1>
      <formula2>2020</formula2>
    </dataValidation>
    <dataValidation allowBlank="1" showInputMessage="1" showErrorMessage="1" prompt="Case study ID + .1, .2 etc for each direct fire creation PCB associated with the case study" sqref="B1 B3963: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J1326:J1329 J1191 J1113:J1121 L1113:T1121 A1528:H1528 B918:H1527 B2:H916 A1:A1527 B1529:H3962 A1529:A1048576" xr:uid="{17AA178F-4754-4BE2-9EC5-55FBA7DF8BF7}"/>
    <dataValidation type="decimal" allowBlank="1" showInputMessage="1" showErrorMessage="1" prompt="Float_x000a_" sqref="AA869:AB872 J887:J917 N885:P886 T885:Z887 X888:Z892 T889:W890 T888:V888 S887 S889 S891:V893 W893:Z893 S894:Z894 W900 W896:Z898 W901:Z905 L885:L922 W907 S895:V916 R885:R922 W908:Z912 W914 J922 U917 V917:V922 T917:T922 S917 P918:P922 M887:Q917 M918:N922 W915:Z916 X917:Z921 Q922 S922 U922 L869:Z884" xr:uid="{3B57A34E-4C32-4B12-893C-FD52A40661E2}">
      <formula1>0</formula1>
      <formula2>999999999</formula2>
    </dataValidation>
    <dataValidation type="decimal" allowBlank="1" showInputMessage="1" showErrorMessage="1" prompt="Float" sqref="J971 L1111:W1112 L971:V971 L1123:W1124 L1172:W1178 X1123 L1197:Z1200 L1201:AB1207 L1208:Z1210 J1227:J1237 M1218:S1218 L1212:S1212 N1211:S1211 N1213:S1217 M1216 M1214 L1211 U1211:Z1218 AA1219:AA1223 M1219:Z1225 J1219:J1225 L1213:L1225 L1227:Z1237 AC1281:AC1292 J1197:J1210 J1172:J1178 J1123:J1124 J1111:J1112 J978 L978:V978 J1469:V1469 J1489:V1497 J1502:V1502 J1517:W1519 J1528:X1528 J1574:V1584 J1594:V1594 J1592:V1592 J1605:W1605 J1597:W1597 J1603:W1603 J1608:W1608 J1612:W1622 J1627:W1629 J1649:V1649 J1672:V1674 I537:I588 J1849:W1850 J1922:V1937 J1972:V1975 J1995:V1998 J2030:U2031 J2033:U2034 J2027:U2028 Z2042:Z2069 J2042:V2050 W2042:Y2049 J2051:U2058 W2051:W2069 V2051:V2057 K2070:Z2071 J2059:V2069 X2059:Y2069 J2072:V2074 J2089:V2090 J2123:V2126 J2129:V2129 J2132:V2132 J2513:V2514 J2523:V2523 J2546:V2547 J2933:U2933 J2970:U2970 J2983:V2983 J2990:V2990 J3038:V3038 J3041:V3047 J3073:V3073 J3102:V3102 J3110:V3110 J3140:V3140 J2447:V2447 J2454:V2455 J3142:V3142"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1" yWindow="392" count="18">
        <x14:dataValidation type="list" allowBlank="1" showInputMessage="1" showErrorMessage="1" prompt="One of: Human Deliberate, Human Accidental, Human Escaped, Lightning, Other Natural, Unknown" xr:uid="{77BAA449-F600-4FAA-A409-378EF4E05B84}">
          <x14:formula1>
            <xm:f>'IGNORE Lookups'!$E$3:$E$8</xm:f>
          </x14:formula1>
          <xm:sqref>C1 C3963:C1048576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Z2491:Z2502 W2513:Z2514 J2512:Z2512 W2515 Z2515:Z2516 J2515:V2516 Z2518 X2515:Y2519 W2521:Z2523 V2521:V2522 J2520:U2522 V2520:Z2520 J2524:Z2529 J2538:Y2538 W2536:Y2536 W2530:Z2535 X2537:Y2537 Z2536:Z2544 J2530:V2537 J2539:V2540 X2539:Y2540 J2541:Y2544 S2548:S2549 W2545:Z2547 S2545:V2545 N2545 K2545:L2545 J2548:R2551 S2551:Z2551 T2548:Z2550 J2807:V2817 W2638:W2817 J2638:V2641 J2645:V2659 J2663:V2677 J2681:V2695 J2699:V2713 J2717:V2731 J2735:V2749 J2753:V2767 J2771:V2785 J2789:V2803 R2836:W2836 J2818:W2835 O2836:P2836 N2838:N2840 X2844:Y2844 O2838:P2844 X2461:Z2476 N2837:P2837 X2552:Z2562 J2552:W2637 Q2836:Q2842 J2836:J2919 K2836:K2842 M2836:M2842 X2491:Y2506 W2837:W2842 X2563:Y2842 X2843:Z2843 Q2845:Y2911 S2837:V2844 W2919:Z2919 K2845:O2911 K2912:L2919 M2912:P2916 X2915:Z2918 Q2915:Q2916 M2918:Q2919 R2912:V2919 W2912 Z2844:Z2914 W2916:W2917 X2912:Y2914 M2917 W2914 O2917:Q2917 X2920:Z2921 W2932 W2922:Z2924 O2924:V2924 J2924:M2924 J2925:Y2931 X2937:Y2951 X2969:Y2969 X2971:Y2972 X2982:Y2989 X3020:Y3020 X3022:Y3038 X3040:Y3040 X3055:Y3072 X3075:Y3076 X3091:Y3101 X3103:Y3109 X3111:Y3116 X3117:Z3124 X3125:Y3128 Y2455 X2401:Y2424 X2450:X2455 Y2451 Y2453 X3143:Y3147 X3151:Y1048576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J2116:V2122 W2119:W2127 J2127:V2128 W2128:Y2129 J2130:Y2131 W2132:Y2132 Z2107:Z2132 J2133:Q2135 Y2134:Z2134 S2133:X2135 R2133:R2134 J2136:V2140 Z155:Z822 Z2310:Z2313 AA2146 Z2152:Z2154 Z2163:Z2170 Z2177:Z2178 Z2180:Z2187 Z2202:Z2206 Z2306 W2136:Y2144 J2147:U2148 X2146:Y2146 Z2136:Z2150 V2148:Y2148 J2142:V2146 V2147 Z2503:Z2506 Z2517 Z2519 Z2563:Z2842 Z2925:Z2931 Z2937:Z2951 Z2986 Z3022:Z3038 Z3040 Z3059:Z3072 Z3091:Z3101 Z3103:Z3109 Z3111:Z3116 Z3125:Z3128 Z3143:Z3147 Z3151:Z1048576</xm:sqref>
        </x14:dataValidation>
        <x14:dataValidation type="list" allowBlank="1" showInputMessage="1" showErrorMessage="1" prompt="Presence or absence" xr:uid="{606FCF66-415C-41B1-B1BE-9964B4191819}">
          <x14:formula1>
            <xm:f>'IGNORE Lookups'!$H$2:$H$3</xm:f>
          </x14:formula1>
          <xm:sqref>H1 H3963:H1048576</xm:sqref>
        </x14:dataValidation>
        <x14:dataValidation type="list" allowBlank="1" showInputMessage="1" showErrorMessage="1" xr:uid="{62876A7A-7519-4CDA-8C59-D1191D159B01}">
          <x14:formula1>
            <xm:f>'IGNORE Lookups'!$G$3:$G$10</xm:f>
          </x14:formula1>
          <xm:sqref>K1635:U1659 W1731 L1226:Z1226 F1:G1 J1243:J1276 AB1226 L1243:Z1252 L1253:V1255 X1253:Z1255 L1256:W1261 L1262:V1266 X1257:Z1258 X1260:Z1261 L1267:U1276 W1263 W1265:Z1266 W1630:Z1634 L1278:V1278 X1277:Z1280 W1279:W1321 Z1281:Z1357 L1281:V1325 X1293:Y1299 L1330:V1330 X1308:Y1321 W1322:Y1330 L1331:Y1342 X1346:Y1357 J1330:J1342 J1293:J1325 J1278 J1226 AA1677:AA1678 L1238:U1239 X1517:AA1519 Y1528:Z1528 W1529:Z1552 X1553:Z1553 J1529:V1555 W1554:Z1554 X1555:Z1559 W1561:Z1561 J1556:W1560 J1562:Z1563 L1564 P1564 N1564 R1564:T1564 V1564:W1564 W1565:Z1568 W1570:Z1570 J1569:Z1569 W1572:Z1572 J1571:Y1571 J1573:Z1573 W1574:Z1584 J1585:Z1590 W1592:Z1592 W1594:Z1594 J1593:Z1593 K1591:V1591 X1601:Z1601 X1603:Z1603 X1605:Z1605 J1595:Z1595 X1607:Z1608 J1596:W1596 J1598:W1602 J1604:W1604 J1606:V1607 W1606 J1609:Z1629 J1630:U1634 V1267:W1267 W1277 V1635:AA1635 J1636:J1644 J1646:J1654 J1656:J1660 O1240:S1242 V1632:V1634 V1636:Z1659 K1661:O1661 Q1661:W1661 S1660:W1660 K1660:Q1660 J1662:W1662 K1663:O1664 Q1663:W1664 J1665:W1666 J1669:V1676 J1667:Z1667 W1668:W1676 Z1668:Z1676 X1668:Y1669 X1671:Y1674 K1677:Z1680 J1238:J1241 T1240:T1241 U1240:W1242 L1240:M1242 W1681:Z1682 J1683:Z1687 X1688:Z1692 L1698:L1731 M1693:M1731 O1693:V1697 X1723:Z1731 N1698:W1730 J1693:K1731 N1731:U1731 X2059:Y2069 J1823:Z1831 J1832:S1833 T1832:Z1832 U1833:V1833 X1833:Z1833 J1834:W1836 J1837:V1839 W1838:Z1839 X1837:Z1837 J1840:W1844 J1847:W1848 J1846:L1846 J1845:Y1845 X1846:Y1846 N1846:S1846 U1846:V1846 Z1840:Z1846 J1851:W1853 Y1850:Z1853 X1849:Z1849 X1850 X1852:X1853 J1861:V1868 Z1858 X1862:Z1862 Z1863:Z1864 Z1854:Z1855 W1866:Y1867 X1882:Y1885 J1869:Y1872 X1878:Y1878 X1880:Y1880 J1854:V1859 W1855:W1859 W1861:W1863 Z1860 J1860:W1860 X1892:Y1894 J1896:W1913 W1874:W1885 Z1866:Z1971 X1900:Y1904 J1873:V1895 X1906:Y1913 X1896:Y1896 X1889:Y1889 W1887:W1895 J1914:Y1921 W1922:Y1937 K1941:K1951 K1938:K1939 O1941:O1951 O1938:O1939 Q1938:Q1939 AA1942:AB1949 L1938:N1951 J1938:J1951 R1938:V1951 W1938:W1949 W1952:W1962 Q1941:Q1971 P1938:P1971 R1952:R1962 S1952:V1966 X1938:Y1966 J1952:O1971 R1967:Y1971 J1986:N1986 W1972:Z1975 K1990:V1990 U1986:W1986 W1989:Z1990 R1986:T1989 K1987:Q1989 J1976:Z1985 J1987:J1990 U1987:V1989 W1995:Z1998 J1991:Z1994 L1999:L2002 P1999:R2002 M1999:M2026 N1999:N2002 S2012:Z2026 J1999:K2005 S1999:Z2008 T2009:Z2011 K2012:K2026 O2012:O2026 Q2012:Q2026 Q2003:Q2005 R2006:R2026 P2006:P2026 N2006:N2026 L2006:L2026 J2006:J2026 O1999:O2005 J2029:Z2029 J2032:Z2032 V2030:Z2031 V2033:Z2034 V2027:Z2028 J2035:Z2040 M2041:O2041 S2041:U2041 W2041:Z2041 J2042:Z2042 W2043:Z2043 J2044:Z2045 W2046:Z2046 J2047:Z2048 W2049:Z2049 Z2050:Z2069 W2051:W2069 J2050:V2055 J2057:U2058 V2057 K2070:Z2071 J2059:V2069 F3963:G1048576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D3963:D1048576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J986:J1109 J1122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J1129:J1171 W1139:X1143 X1154:Z1159 Q1511:Y1516 W1145:W1160 J1125:J1126 J951:J970 J972:J977 M1125 J923:J949 L923:S949 W1489:Z1497 J1498:V1500 X1498:Z1500 W1499 W1502:Z1502 J1501:Z1501 J1503:N1503 P1503:P1516 R1503:Z1503 X1504:Z1509 Z1510:Z1516 Q1504:W1510 J1504:J1508 J1510:J1516 L1127:V1127 L1110:O1110 R951:R957 L951:Q960 O961:Q970 S951:S970 R961 R963 R968 J979:J984 M979:M985 O985:Q985 O981:R984 S981:U985 W954:W984 N986:N1080</xm:sqref>
        </x14:dataValidation>
        <x14:dataValidation type="list" allowBlank="1" showInputMessage="1" showErrorMessage="1" prompt="Should be included in AFTs listed in land use record_x000a_" xr:uid="{7EF252FD-BAFF-477B-8C5F-96D534AF02C8}">
          <x14:formula1>
            <xm:f>'IGNORE Lookups'!$C$23:$C$41</xm:f>
          </x14:formula1>
          <xm:sqref>E1 E3963:E1048576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J1219:J1225 M1219:Z1225 AA1219:AA1223 U1211:Z1218 L1211 M1214 M1216 N1213:S1217 N1211:S1211 L1212:S1212 M1218:S1218 L1201:AB1207 X1146:Z1146 W1197:Z1200 X1172:Z1178 W1162:W1171 W1161:AA1161 J1201:J1210 J1227:J1237 L1227:Z1237</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J1358:J1363 J1368:J1371 L1417:Q1423 L1373:S1376 L1416:N1416 R1412:W1423 P1416 L1412:Q1415 AA1445 AA1427 AA1425 AA1434 AA1436 AA1443 K1466:Z1475 J1478:Z1481 K1476:V1477 J1373:J1450 J1466:J1477 J1732:W1733 Z1732:Z1808 X1739:Y1808 J1734:Y1738 S1739:W1822 J1739:O1822 R1740:R1748 P1740:P1748 P1750:P1758 R1750:R1758 R1760:R1768 P1760:P1768 P1770:P1778 R1770:R1778 R1780:R1788 P1800:P1808 P1780:P1788 P1790:P1798 Q1739:Q1822 R1790:R1798 R1800:R1808 J2075:Z2075 W2072:Z2074 Z2076:Z2106 X2076:Y2085 K2076:W2088 J2076:J2086 W2089:Y2090 Q2091:Y2106 J2091:N2106 O2105:P2106 O2091:O2101 P2091:P2104 J2107:V2108 J2111:M2111 L2109:N2110 P2109:W2110 N2114:V2115 K2112:K2115 M2112:M2115 O2111:V2113 J2114:J2115 L2114:L2115 W2111:W2115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J1668:V1668 J1128 P1110 R957 J153:J154 P969 J1455 J1460 J1465 S603:U609 K1:K1465 AB610 L611:U617 L619:R844 L618:W618 L610:W610 J603:J621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J2214:J2216 P2217:Q2219 P2211:R2216 K2202:O2206 Q2202:R2206 J2220:Q2220 K2221:Q2221 S2214:W2219 S2221:Z2221 R2217:R2221 K2211:O2219 S2220:AA2220 K2306:R2306 R2511 M2510 P2511 K2507:K2511 O2545:R2545 M2545 Q2843:Q2844 N2836 M2843:M2844 N2841:N2844 K2843:K2844 L2496 L2836:L2844 R2493 R2496 L2493 R2837:R2844 P2845:P2911 N2917 Q2912:Q2914 K2920:R2921 N2924 N2971 O2988 Q2988 P2989 N2989 L3067:L3072 P3067:P3072 N3074 R3067:R3072 O3119:O3128 K3119:K3128 Q3119:Q3128 K3151:R1048576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T2503:T2506 T2508 V2517 S2550 V2466 S2920:V2921 V2937:V2946 T2969 S2987 V2988:V2989 V3026:V3037 S3040 V3067 S2415:S2417 S2401:S2405 S2407:S2408 S2412 S3133:S3139 S2450 S2443:S2444 S3151:V1048576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J1482:W1488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W2503 W2505 J2517:U2519 V2518:V2519 W2516:W2519 W2537 W2539:W2540 W2461 W2843:W2844 W2913 W2915 W2918 W2920:W2921 W2934 W2937:W2951 W2979 W2988 W3020 W3040 W3075:W3076 W3125:W3128 W3143:W3147 W3151:W1048576</xm:sqref>
        </x14:dataValidation>
        <x14:dataValidation type="list" allowBlank="1" showInputMessage="1" showErrorMessage="1" xr:uid="{22B62566-8B42-4989-AC2F-9DCAB30ABC59}">
          <x14:formula1>
            <xm:f>'IGNORE Lookups'!$E$29:$E$42</xm:f>
          </x14:formula1>
          <xm:sqref>J1127 L1279:V1280 J1372 J1364:J1367 J1343:J1357 J950 J1192:J1196 J1277 J918:J921 L1372:V1372 J1211:J1218 L1277:V1277 V1192:V1196 T1192:T1196 L1192:R1196 J1179:J1190 X1191:Z1196 L1187:Z1190 J1242 L1179:W1186 J1279:J1292 L950:W950 L1343:W1357 L1364:V1367 J1509 J1520:V1527 X1520:Z1527 W1520:W1524 J1561:V1561 K1565:V1568 J1564:J1568 J1570:V1570 J1572:V1572 J1591 J1645 J1635 J1655 J1661 J1663:J1664 J1110 J1:J152 J985 J1451:J1454 J1456:J1459 J1461:J1464 J622:J886 J2041 J2070:J2071 J2087:J2088 J2109:J2110 J2112:J2113 J155:J602 X2152:Y2152 K2151:Z2151 S2156 V2156:Z2162 U2156 K2156:R2162 T2156:T2162 K2178:W2179 O2188:Q2188 Z2188 S2188:W2188 K2188:M2188 Q2207:Z2210 K2189:Z2201 K2207:O2210 J2149:J2213 P2202:P2210 J2221 J2217:J2219 K2307:Z2309 S2317:S2388 P2314:P2316 V2315:V2316 S2314:T2316 U2314:U2394 V2321:V2328 W2314:Z2329 V2330:Z2337 W2338:Z2338 V2339:Z2346 W2347:Z2347 V2348:Z2355 W2356:Z2356 V2357:Z2364 W2365:Z2365 P2321:P2394 M2460:Q2501 V2375:V2394 K2314:N2394 V2366:Z2373 K2502:W2502 T2321:T2394 M2511 K2503:S2506 W2506:W2511 U2503:V2503 U2504:W2504 U2505:V2506 L2507:S2509 T2507:V2507 T2509:V2509 U2508:V2508 L2510:L2511 N2510:O2511 P2510:V2510 Q2511 S2511:V2511 X2507:Z2511 J2502:J2511 J2545 J2642:V2644 J2660:V2662 J2678:V2680 J2696:V2698 J2714:V2716 J2732:V2734 J2750:V2752 J2768:V2770 J2786:V2788 J2804:V2806 R2497:R2501 R2494:R2495 L2494:L2495 L2497:L2501 W2374:Z2382 V2467:V2501 W2462:W2501 L2460:L2492 R2460:R2492 S2461:U2501 X2477:Z2490 J2460:K2501 O2314:O2382 X2389:Y2394 Q2314:R2394 J2306:J2394 K2922:V2923 J2920:J2923 J2932:V2932 J2952:J2955 J2968:V2968 J2980:J2981 J2988:J2989 W2458 T2428:V2429 T2431:V2432 T2434:V2435 T2437:V2438 T2440:V2441 T2443:V2446 P2448:R2448 O2445:R2446 J2448:O2449 P2449:S2449 T2448:V2453 J2450:N2453 P2450:R2453 V2456:V2457 V2459:V2465 J2457:R2459 T2456:U2460 S2458:S2460 J3151:J1048576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J2406:N2406 W2407:W2408 J2409:N2411 P2409:V2411 P2413:V2414 W2401:W2405 W2412 J2413:N2414 W2415:W2422 T2423:V2424 J2423:N2424 P2423:R2424 O2401:O2424 T2427:V2427 J2427:R2427 T2430:V2430 J2430:R2430 T2433:V2433 J2433:R2433 T2436:V2436 J2436:R2436 T2439:V2439 J2439:R2439 S2418:S2441 P2442:V2442 J2442:N2442 O2442:O2444 S2448 X2445:Y2446 Z2407:Z2446 S2445:S2446 W2425:W2446 Y2454 O2450:O2453 W2448:W2453 X2448:X2449 Y2448:Y2450 Y2452 S2451:S2453 W2459:W2460 J2456:R2456 S2456:S2457 Z2448:Z2460 X2456:Y2460 W2456:W2457 V2458</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J2395:Y2400 Z2406 T2401:V2405 P2401:R2405 J2401:N2405 J2407:N2408 P2407:R2408 T2407:V2408 J2412:N2412 P2412:R2412 T2412:V2412 W2413:W2414 W2409:W2411 W2406 W2423:W2424 T2415:V2422 P2415:R2422 J2415:N2422 J2425:R2426 J2428:R2429 J2431:R2432 J2434:R2435 J2437:R2438 J2440:R2441 T2425:V2426 P2443:R2444 X2425:Y2444 W2447:Z2447 J2443:N2446 W2454:W2455</xm:sqref>
        </x14:dataValidation>
        <x14:dataValidation type="list" allowBlank="1" showInputMessage="1" showErrorMessage="1" prompt="One of: Traditional , Private, Centrally-allocated, Insecure, Mixed. _x000a_" xr:uid="{BF1116FB-359C-47E7-BC75-685C624DF54C}">
          <x14:formula1>
            <xm:f>'IGNORE Lookups'!$A$23:$A$28</xm:f>
          </x14:formula1>
          <xm:sqref>V2933:V2936 X2932:Z2934 W2933 J2934:U2946 W2935:Z2936 J2947:V2951 K2952:Z2957 J2956:J2957 J2958:Z2967 W2968:Z2968 J2969:S2969 U2969:W2969 Z2969 V2970:Z2970 Z2971:Z2985 J2971:M2971 O2971:W2971 J2972:W2972 J2973:Y2978 J2979:V2979 X2979:Y2979 K2980:Y2981 W2982:W2987 J2982:V2982 J2984:V2987 Z2987:Z3021 T2988:U2989 W2989 K2988:N2988 K2989:M2989 P2988 O2989 Q2989:S2989 R2988:S2988 W2990:Y2990 J2991:Y3019 J3020:V3020 J3021:Y3021 V3022:V3025 W3022:W3039 J3022:U3037 J3039:V3039 X3039:Z3039 T3040:V3040 J3040:R3040 J3048:Z3054 W3041:Z3047 Z3055:Z3058 J3055:W3066 M3067:O3072 Q3067:Q3073 J3067:K3072 S3067:U3072 W3067:W3073 V3068:V3073 J3074:M3074 O3074:Z3074 Z3075:Z3083 J3073:P3073 R3073:U3073 X3073:Z3073 J3075:V3076 J3077:Y3083 J3084:Z3090 J3091:W3101 J3102:Z3102 J3103:W3109 J3111:W3116 J3110:Z3110 J3117:J3139 K3117:W3118 W3119:W3124 R3119:V3128 P3119:P3139 L3119:N3128 Q3129:Z3132 K3129:O3139 Q3133:R3139 T3133:Z3139 W3140:Z3140 J3141:Z3141 W3142:Z3142 J3143:V3147 J3148:Z3150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759"/>
  <sheetViews>
    <sheetView zoomScale="60" zoomScaleNormal="60" workbookViewId="0">
      <pane ySplit="1" topLeftCell="A496" activePane="bottomLeft" state="frozen"/>
      <selection activeCell="F1" sqref="F1"/>
      <selection pane="bottomLeft" activeCell="A502" sqref="A502"/>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8"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6"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6"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6"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6"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6"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6"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6"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4" t="s">
        <v>2276</v>
      </c>
      <c r="I372" s="204" t="s">
        <v>2276</v>
      </c>
      <c r="J372" s="204" t="s">
        <v>2276</v>
      </c>
      <c r="K372" s="204" t="s">
        <v>2276</v>
      </c>
      <c r="L372" s="3">
        <v>2</v>
      </c>
      <c r="M372" s="49" t="s">
        <v>6082</v>
      </c>
      <c r="N372" s="3"/>
    </row>
    <row r="373" spans="1:14" ht="43.5" customHeight="1">
      <c r="A373" s="11" t="s">
        <v>6083</v>
      </c>
      <c r="B373" s="11" t="s">
        <v>6980</v>
      </c>
      <c r="C373" s="11" t="s">
        <v>1105</v>
      </c>
      <c r="D373" s="11" t="s">
        <v>1105</v>
      </c>
      <c r="E373" s="19" t="s">
        <v>5005</v>
      </c>
      <c r="F373" s="19" t="s">
        <v>2662</v>
      </c>
      <c r="G373" s="11"/>
      <c r="H373" s="204" t="s">
        <v>2276</v>
      </c>
      <c r="I373" s="204" t="s">
        <v>2276</v>
      </c>
      <c r="J373" s="11">
        <v>2</v>
      </c>
      <c r="K373" s="19" t="s">
        <v>6985</v>
      </c>
      <c r="L373" s="204" t="s">
        <v>2276</v>
      </c>
      <c r="M373" s="204" t="s">
        <v>2276</v>
      </c>
      <c r="N373" s="11"/>
    </row>
    <row r="374" spans="1:14" ht="51" customHeight="1">
      <c r="A374" s="11" t="s">
        <v>6084</v>
      </c>
      <c r="B374" s="11" t="s">
        <v>6982</v>
      </c>
      <c r="C374" s="11" t="s">
        <v>1105</v>
      </c>
      <c r="D374" s="11" t="s">
        <v>1105</v>
      </c>
      <c r="E374" s="19" t="s">
        <v>397</v>
      </c>
      <c r="F374" s="19" t="s">
        <v>28</v>
      </c>
      <c r="G374" s="11"/>
      <c r="H374" s="204" t="s">
        <v>2276</v>
      </c>
      <c r="I374" s="204" t="s">
        <v>2276</v>
      </c>
      <c r="J374" s="11">
        <v>2</v>
      </c>
      <c r="K374" s="19" t="s">
        <v>6986</v>
      </c>
      <c r="L374" s="204" t="s">
        <v>2276</v>
      </c>
      <c r="M374" s="204" t="s">
        <v>2276</v>
      </c>
      <c r="N374" s="11"/>
    </row>
    <row r="375" spans="1:14" s="203" customFormat="1" ht="51" customHeight="1">
      <c r="A375" s="11" t="s">
        <v>6083</v>
      </c>
      <c r="B375" s="11" t="s">
        <v>6981</v>
      </c>
      <c r="C375" s="11" t="s">
        <v>1105</v>
      </c>
      <c r="D375" s="11" t="s">
        <v>1105</v>
      </c>
      <c r="E375" s="19" t="s">
        <v>5005</v>
      </c>
      <c r="F375" s="19" t="s">
        <v>2662</v>
      </c>
      <c r="G375" s="11"/>
      <c r="H375" s="204" t="s">
        <v>2276</v>
      </c>
      <c r="I375" s="204" t="s">
        <v>2276</v>
      </c>
      <c r="J375" s="11">
        <v>2</v>
      </c>
      <c r="K375" s="19" t="s">
        <v>6985</v>
      </c>
      <c r="L375" s="204" t="s">
        <v>2276</v>
      </c>
      <c r="M375" s="204" t="s">
        <v>2276</v>
      </c>
      <c r="N375" s="11"/>
    </row>
    <row r="376" spans="1:14" s="203" customFormat="1" ht="51" customHeight="1">
      <c r="A376" s="11" t="s">
        <v>6084</v>
      </c>
      <c r="B376" s="11" t="s">
        <v>6983</v>
      </c>
      <c r="C376" s="11" t="s">
        <v>1105</v>
      </c>
      <c r="D376" s="11" t="s">
        <v>1105</v>
      </c>
      <c r="E376" s="19" t="s">
        <v>397</v>
      </c>
      <c r="F376" s="19" t="s">
        <v>28</v>
      </c>
      <c r="G376" s="11"/>
      <c r="H376" s="204" t="s">
        <v>2276</v>
      </c>
      <c r="I376" s="204" t="s">
        <v>2276</v>
      </c>
      <c r="J376" s="11">
        <v>2</v>
      </c>
      <c r="K376" s="19" t="s">
        <v>6986</v>
      </c>
      <c r="L376" s="204" t="s">
        <v>2276</v>
      </c>
      <c r="M376" s="204"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4" t="s">
        <v>2276</v>
      </c>
      <c r="M377" s="204" t="s">
        <v>2276</v>
      </c>
      <c r="N377" s="3"/>
    </row>
    <row r="378" spans="1:14" s="203" customFormat="1" ht="69.5" customHeight="1">
      <c r="A378" s="204" t="s">
        <v>6148</v>
      </c>
      <c r="B378" s="204" t="s">
        <v>6191</v>
      </c>
      <c r="C378" s="204" t="s">
        <v>24</v>
      </c>
      <c r="D378" s="204" t="s">
        <v>1242</v>
      </c>
      <c r="E378" s="4" t="s">
        <v>2649</v>
      </c>
      <c r="F378" s="204" t="s">
        <v>74</v>
      </c>
      <c r="G378" s="204"/>
      <c r="H378" s="204">
        <v>2</v>
      </c>
      <c r="I378" s="204" t="s">
        <v>6654</v>
      </c>
      <c r="J378" s="204">
        <v>2</v>
      </c>
      <c r="K378" s="204" t="s">
        <v>6654</v>
      </c>
      <c r="L378" s="204" t="s">
        <v>2276</v>
      </c>
      <c r="M378" s="204" t="s">
        <v>2276</v>
      </c>
      <c r="N378" s="204"/>
    </row>
    <row r="379" spans="1:14" ht="69.5" customHeight="1">
      <c r="A379" s="3" t="s">
        <v>6148</v>
      </c>
      <c r="B379" s="204" t="s">
        <v>6192</v>
      </c>
      <c r="C379" s="3" t="s">
        <v>2656</v>
      </c>
      <c r="D379" s="204" t="s">
        <v>2276</v>
      </c>
      <c r="E379" s="4" t="s">
        <v>137</v>
      </c>
      <c r="F379" s="3" t="s">
        <v>74</v>
      </c>
      <c r="G379" s="3"/>
      <c r="H379" s="3">
        <v>2</v>
      </c>
      <c r="I379" s="204" t="s">
        <v>6653</v>
      </c>
      <c r="J379" s="3">
        <v>2</v>
      </c>
      <c r="K379" s="204" t="s">
        <v>6653</v>
      </c>
      <c r="L379" s="3">
        <v>0</v>
      </c>
      <c r="M379" s="3" t="s">
        <v>6653</v>
      </c>
      <c r="N379" s="3"/>
    </row>
    <row r="380" spans="1:14" s="203" customFormat="1" ht="69.5" customHeight="1">
      <c r="A380" s="204" t="s">
        <v>6148</v>
      </c>
      <c r="B380" s="204" t="s">
        <v>6193</v>
      </c>
      <c r="C380" s="204" t="s">
        <v>2656</v>
      </c>
      <c r="D380" s="204" t="s">
        <v>2276</v>
      </c>
      <c r="E380" s="4" t="s">
        <v>2649</v>
      </c>
      <c r="F380" s="204" t="s">
        <v>74</v>
      </c>
      <c r="G380" s="204"/>
      <c r="H380" s="204">
        <v>2</v>
      </c>
      <c r="I380" s="204" t="s">
        <v>6653</v>
      </c>
      <c r="J380" s="204">
        <v>2</v>
      </c>
      <c r="K380" s="204" t="s">
        <v>6653</v>
      </c>
      <c r="L380" s="204">
        <v>0</v>
      </c>
      <c r="M380" s="204" t="s">
        <v>6653</v>
      </c>
      <c r="N380" s="204"/>
    </row>
    <row r="381" spans="1:14" ht="69.5" customHeight="1">
      <c r="A381" s="3" t="s">
        <v>6149</v>
      </c>
      <c r="B381" s="3" t="s">
        <v>6194</v>
      </c>
      <c r="C381" s="3" t="s">
        <v>24</v>
      </c>
      <c r="D381" s="3" t="s">
        <v>1242</v>
      </c>
      <c r="E381" s="4" t="s">
        <v>137</v>
      </c>
      <c r="F381" s="3" t="s">
        <v>74</v>
      </c>
      <c r="G381" s="3"/>
      <c r="H381" s="3">
        <v>2</v>
      </c>
      <c r="I381" s="3" t="s">
        <v>6249</v>
      </c>
      <c r="J381" s="3">
        <v>2</v>
      </c>
      <c r="K381" s="3" t="s">
        <v>6249</v>
      </c>
      <c r="L381" s="204" t="s">
        <v>2276</v>
      </c>
      <c r="M381" s="204" t="s">
        <v>2276</v>
      </c>
      <c r="N381" s="3"/>
    </row>
    <row r="382" spans="1:14" s="203" customFormat="1" ht="69.5" customHeight="1">
      <c r="A382" s="204" t="s">
        <v>6149</v>
      </c>
      <c r="B382" s="204" t="s">
        <v>6195</v>
      </c>
      <c r="C382" s="204" t="s">
        <v>24</v>
      </c>
      <c r="D382" s="204" t="s">
        <v>1242</v>
      </c>
      <c r="E382" s="4" t="s">
        <v>2649</v>
      </c>
      <c r="F382" s="204" t="s">
        <v>74</v>
      </c>
      <c r="G382" s="204"/>
      <c r="H382" s="204">
        <v>2</v>
      </c>
      <c r="I382" s="204" t="s">
        <v>6654</v>
      </c>
      <c r="J382" s="204">
        <v>2</v>
      </c>
      <c r="K382" s="204" t="s">
        <v>6654</v>
      </c>
      <c r="L382" s="204" t="s">
        <v>2276</v>
      </c>
      <c r="M382" s="204" t="s">
        <v>2276</v>
      </c>
      <c r="N382" s="204"/>
    </row>
    <row r="383" spans="1:14" s="203" customFormat="1" ht="69.5" customHeight="1">
      <c r="A383" s="204" t="s">
        <v>6640</v>
      </c>
      <c r="B383" s="204" t="s">
        <v>6647</v>
      </c>
      <c r="C383" s="204" t="s">
        <v>24</v>
      </c>
      <c r="D383" s="204" t="s">
        <v>1242</v>
      </c>
      <c r="E383" s="4" t="s">
        <v>137</v>
      </c>
      <c r="F383" s="204" t="s">
        <v>74</v>
      </c>
      <c r="G383" s="204"/>
      <c r="H383" s="204">
        <v>2</v>
      </c>
      <c r="I383" s="204" t="s">
        <v>6249</v>
      </c>
      <c r="J383" s="204">
        <v>2</v>
      </c>
      <c r="K383" s="204" t="s">
        <v>6249</v>
      </c>
      <c r="L383" s="204" t="s">
        <v>2276</v>
      </c>
      <c r="M383" s="204" t="s">
        <v>2276</v>
      </c>
      <c r="N383" s="204" t="s">
        <v>6655</v>
      </c>
    </row>
    <row r="384" spans="1:14" s="203" customFormat="1" ht="69.5" customHeight="1">
      <c r="A384" s="204" t="s">
        <v>6640</v>
      </c>
      <c r="B384" s="204" t="s">
        <v>6648</v>
      </c>
      <c r="C384" s="204" t="s">
        <v>24</v>
      </c>
      <c r="D384" s="204" t="s">
        <v>1242</v>
      </c>
      <c r="E384" s="4" t="s">
        <v>2649</v>
      </c>
      <c r="F384" s="204" t="s">
        <v>74</v>
      </c>
      <c r="G384" s="204"/>
      <c r="H384" s="204">
        <v>2</v>
      </c>
      <c r="I384" s="204" t="s">
        <v>6654</v>
      </c>
      <c r="J384" s="204">
        <v>2</v>
      </c>
      <c r="K384" s="204" t="s">
        <v>6654</v>
      </c>
      <c r="L384" s="204" t="s">
        <v>2276</v>
      </c>
      <c r="M384" s="204" t="s">
        <v>2276</v>
      </c>
      <c r="N384" s="204" t="s">
        <v>6656</v>
      </c>
    </row>
    <row r="385" spans="1:14" s="203" customFormat="1" ht="69.5" customHeight="1">
      <c r="A385" s="204" t="s">
        <v>6641</v>
      </c>
      <c r="B385" s="204" t="s">
        <v>6649</v>
      </c>
      <c r="C385" s="204" t="s">
        <v>24</v>
      </c>
      <c r="D385" s="204" t="s">
        <v>1242</v>
      </c>
      <c r="E385" s="4" t="s">
        <v>137</v>
      </c>
      <c r="F385" s="204" t="s">
        <v>74</v>
      </c>
      <c r="G385" s="204"/>
      <c r="H385" s="204">
        <v>2</v>
      </c>
      <c r="I385" s="204" t="s">
        <v>6249</v>
      </c>
      <c r="J385" s="204">
        <v>2</v>
      </c>
      <c r="K385" s="204" t="s">
        <v>6249</v>
      </c>
      <c r="L385" s="204" t="s">
        <v>2276</v>
      </c>
      <c r="M385" s="204" t="s">
        <v>2276</v>
      </c>
      <c r="N385" s="204" t="s">
        <v>6655</v>
      </c>
    </row>
    <row r="386" spans="1:14" s="203" customFormat="1" ht="69.5" customHeight="1">
      <c r="A386" s="204" t="s">
        <v>6641</v>
      </c>
      <c r="B386" s="204" t="s">
        <v>6650</v>
      </c>
      <c r="C386" s="204" t="s">
        <v>24</v>
      </c>
      <c r="D386" s="204" t="s">
        <v>1242</v>
      </c>
      <c r="E386" s="4" t="s">
        <v>2649</v>
      </c>
      <c r="F386" s="204" t="s">
        <v>74</v>
      </c>
      <c r="G386" s="204"/>
      <c r="H386" s="204">
        <v>2</v>
      </c>
      <c r="I386" s="204" t="s">
        <v>6654</v>
      </c>
      <c r="J386" s="204">
        <v>2</v>
      </c>
      <c r="K386" s="204" t="s">
        <v>6654</v>
      </c>
      <c r="L386" s="204" t="s">
        <v>2276</v>
      </c>
      <c r="M386" s="204" t="s">
        <v>2276</v>
      </c>
      <c r="N386" s="204" t="s">
        <v>6656</v>
      </c>
    </row>
    <row r="387" spans="1:14" s="203" customFormat="1" ht="69.5" customHeight="1">
      <c r="A387" s="204" t="s">
        <v>6642</v>
      </c>
      <c r="B387" s="204" t="s">
        <v>6651</v>
      </c>
      <c r="C387" s="204" t="s">
        <v>24</v>
      </c>
      <c r="D387" s="204" t="s">
        <v>1242</v>
      </c>
      <c r="E387" s="4" t="s">
        <v>137</v>
      </c>
      <c r="F387" s="204" t="s">
        <v>74</v>
      </c>
      <c r="G387" s="204"/>
      <c r="H387" s="204">
        <v>2</v>
      </c>
      <c r="I387" s="204" t="s">
        <v>6249</v>
      </c>
      <c r="J387" s="204">
        <v>2</v>
      </c>
      <c r="K387" s="204" t="s">
        <v>6249</v>
      </c>
      <c r="L387" s="204" t="s">
        <v>2276</v>
      </c>
      <c r="M387" s="204" t="s">
        <v>2276</v>
      </c>
      <c r="N387" s="204" t="s">
        <v>6655</v>
      </c>
    </row>
    <row r="388" spans="1:14" s="203" customFormat="1" ht="69.5" customHeight="1">
      <c r="A388" s="204" t="s">
        <v>6642</v>
      </c>
      <c r="B388" s="204" t="s">
        <v>6652</v>
      </c>
      <c r="C388" s="204" t="s">
        <v>24</v>
      </c>
      <c r="D388" s="204" t="s">
        <v>1242</v>
      </c>
      <c r="E388" s="4" t="s">
        <v>2649</v>
      </c>
      <c r="F388" s="204" t="s">
        <v>74</v>
      </c>
      <c r="G388" s="204"/>
      <c r="H388" s="204">
        <v>2</v>
      </c>
      <c r="I388" s="204" t="s">
        <v>6654</v>
      </c>
      <c r="J388" s="204">
        <v>2</v>
      </c>
      <c r="K388" s="204" t="s">
        <v>6654</v>
      </c>
      <c r="L388" s="204" t="s">
        <v>2276</v>
      </c>
      <c r="M388" s="204" t="s">
        <v>2276</v>
      </c>
      <c r="N388" s="204" t="s">
        <v>6656</v>
      </c>
    </row>
    <row r="389" spans="1:14" ht="69.5" customHeight="1">
      <c r="A389" s="3" t="s">
        <v>6150</v>
      </c>
      <c r="B389" s="3" t="s">
        <v>6198</v>
      </c>
      <c r="C389" s="204" t="s">
        <v>1105</v>
      </c>
      <c r="D389" s="204" t="s">
        <v>1105</v>
      </c>
      <c r="E389" s="4" t="s">
        <v>5801</v>
      </c>
      <c r="F389" s="204" t="s">
        <v>160</v>
      </c>
      <c r="G389" s="3"/>
      <c r="H389" s="3" t="s">
        <v>2276</v>
      </c>
      <c r="I389" s="3" t="s">
        <v>2276</v>
      </c>
      <c r="J389" s="3">
        <v>0</v>
      </c>
      <c r="K389" s="3" t="s">
        <v>5215</v>
      </c>
      <c r="L389" s="3" t="s">
        <v>2276</v>
      </c>
      <c r="M389" s="3" t="s">
        <v>2276</v>
      </c>
      <c r="N389" s="3"/>
    </row>
    <row r="390" spans="1:14" ht="130" customHeight="1">
      <c r="A390" s="3" t="s">
        <v>6151</v>
      </c>
      <c r="B390" s="3" t="s">
        <v>6199</v>
      </c>
      <c r="C390" s="204" t="s">
        <v>1105</v>
      </c>
      <c r="D390" s="204" t="s">
        <v>1105</v>
      </c>
      <c r="E390" s="4" t="s">
        <v>3209</v>
      </c>
      <c r="F390" s="204" t="s">
        <v>1105</v>
      </c>
      <c r="G390" s="3">
        <v>2004</v>
      </c>
      <c r="H390" s="204" t="s">
        <v>2276</v>
      </c>
      <c r="I390" s="204" t="s">
        <v>2276</v>
      </c>
      <c r="J390" s="3" t="s">
        <v>2276</v>
      </c>
      <c r="K390" s="3" t="s">
        <v>2276</v>
      </c>
      <c r="L390" s="3">
        <v>3</v>
      </c>
      <c r="M390" s="3" t="s">
        <v>6250</v>
      </c>
      <c r="N390" s="4" t="s">
        <v>6251</v>
      </c>
    </row>
    <row r="391" spans="1:14" s="203" customFormat="1" ht="130" customHeight="1">
      <c r="A391" s="204" t="s">
        <v>6151</v>
      </c>
      <c r="B391" s="204" t="s">
        <v>6200</v>
      </c>
      <c r="C391" s="204" t="s">
        <v>1105</v>
      </c>
      <c r="D391" s="204" t="s">
        <v>1105</v>
      </c>
      <c r="E391" s="4" t="s">
        <v>3209</v>
      </c>
      <c r="F391" s="204" t="s">
        <v>1105</v>
      </c>
      <c r="G391" s="204">
        <v>2003</v>
      </c>
      <c r="H391" s="204" t="s">
        <v>2276</v>
      </c>
      <c r="I391" s="204" t="s">
        <v>2276</v>
      </c>
      <c r="J391" s="204" t="s">
        <v>2276</v>
      </c>
      <c r="K391" s="204" t="s">
        <v>2276</v>
      </c>
      <c r="L391" s="204">
        <v>2</v>
      </c>
      <c r="M391" s="4" t="s">
        <v>6675</v>
      </c>
      <c r="N391" s="4"/>
    </row>
    <row r="392" spans="1:14" ht="59" customHeight="1">
      <c r="A392" s="204" t="s">
        <v>6151</v>
      </c>
      <c r="B392" s="204" t="s">
        <v>6201</v>
      </c>
      <c r="C392" s="204" t="s">
        <v>1105</v>
      </c>
      <c r="D392" s="204" t="s">
        <v>1105</v>
      </c>
      <c r="E392" s="4" t="s">
        <v>5801</v>
      </c>
      <c r="F392" s="204" t="s">
        <v>160</v>
      </c>
      <c r="G392" s="3"/>
      <c r="H392" s="3" t="s">
        <v>2276</v>
      </c>
      <c r="I392" s="3" t="s">
        <v>2276</v>
      </c>
      <c r="J392" s="3">
        <v>0</v>
      </c>
      <c r="K392" s="204" t="s">
        <v>5215</v>
      </c>
      <c r="L392" s="3" t="s">
        <v>2276</v>
      </c>
      <c r="M392" s="3" t="s">
        <v>2276</v>
      </c>
      <c r="N392" s="4"/>
    </row>
    <row r="393" spans="1:14" ht="130" customHeight="1">
      <c r="A393" s="3" t="s">
        <v>6152</v>
      </c>
      <c r="B393" s="3" t="s">
        <v>6202</v>
      </c>
      <c r="C393" s="204" t="s">
        <v>1105</v>
      </c>
      <c r="D393" s="204" t="s">
        <v>1105</v>
      </c>
      <c r="E393" s="4" t="s">
        <v>3209</v>
      </c>
      <c r="F393" s="204" t="s">
        <v>1105</v>
      </c>
      <c r="G393" s="3"/>
      <c r="H393" s="204" t="s">
        <v>2276</v>
      </c>
      <c r="I393" s="204" t="s">
        <v>2276</v>
      </c>
      <c r="J393" s="3" t="s">
        <v>2276</v>
      </c>
      <c r="K393" s="3" t="s">
        <v>2276</v>
      </c>
      <c r="L393" s="3">
        <v>3</v>
      </c>
      <c r="M393" s="3" t="s">
        <v>6250</v>
      </c>
      <c r="N393" s="4" t="s">
        <v>6252</v>
      </c>
    </row>
    <row r="394" spans="1:14" ht="43.5" customHeight="1">
      <c r="A394" s="3" t="s">
        <v>6152</v>
      </c>
      <c r="B394" s="3" t="s">
        <v>6259</v>
      </c>
      <c r="C394" s="204" t="s">
        <v>1105</v>
      </c>
      <c r="D394" s="204" t="s">
        <v>1105</v>
      </c>
      <c r="E394" s="4" t="s">
        <v>5801</v>
      </c>
      <c r="F394" s="204" t="s">
        <v>160</v>
      </c>
      <c r="G394" s="3"/>
      <c r="H394" s="3" t="s">
        <v>2276</v>
      </c>
      <c r="I394" s="3" t="s">
        <v>2276</v>
      </c>
      <c r="J394" s="3">
        <v>0</v>
      </c>
      <c r="K394" s="3" t="s">
        <v>5215</v>
      </c>
      <c r="L394" s="3" t="s">
        <v>2276</v>
      </c>
      <c r="M394" s="3" t="s">
        <v>2276</v>
      </c>
      <c r="N394" s="4"/>
    </row>
    <row r="395" spans="1:14" ht="153.5" customHeight="1">
      <c r="A395" s="204" t="s">
        <v>6153</v>
      </c>
      <c r="B395" s="204" t="s">
        <v>6203</v>
      </c>
      <c r="C395" s="204" t="s">
        <v>1105</v>
      </c>
      <c r="D395" s="204" t="s">
        <v>1105</v>
      </c>
      <c r="E395" s="4" t="s">
        <v>3209</v>
      </c>
      <c r="F395" s="204" t="s">
        <v>1105</v>
      </c>
      <c r="G395" s="3"/>
      <c r="H395" s="204" t="s">
        <v>2276</v>
      </c>
      <c r="I395" s="204" t="s">
        <v>2276</v>
      </c>
      <c r="J395" s="3" t="s">
        <v>2276</v>
      </c>
      <c r="K395" s="3" t="s">
        <v>2276</v>
      </c>
      <c r="L395" s="3">
        <v>3</v>
      </c>
      <c r="M395" s="3" t="s">
        <v>6250</v>
      </c>
      <c r="N395" s="4" t="s">
        <v>6252</v>
      </c>
    </row>
    <row r="396" spans="1:14" ht="65.5" customHeight="1">
      <c r="A396" s="204" t="s">
        <v>6153</v>
      </c>
      <c r="B396" s="204" t="s">
        <v>6260</v>
      </c>
      <c r="C396" s="204" t="s">
        <v>1105</v>
      </c>
      <c r="D396" s="204" t="s">
        <v>1105</v>
      </c>
      <c r="E396" s="4" t="s">
        <v>5801</v>
      </c>
      <c r="F396" s="204" t="s">
        <v>160</v>
      </c>
      <c r="G396" s="3"/>
      <c r="H396" s="3" t="s">
        <v>2276</v>
      </c>
      <c r="I396" s="3" t="s">
        <v>2276</v>
      </c>
      <c r="J396" s="3">
        <v>0</v>
      </c>
      <c r="K396" s="3" t="s">
        <v>5215</v>
      </c>
      <c r="L396" s="3" t="s">
        <v>2276</v>
      </c>
      <c r="M396" s="3" t="s">
        <v>2276</v>
      </c>
      <c r="N396" s="4"/>
    </row>
    <row r="397" spans="1:14" s="203" customFormat="1" ht="142.5" customHeight="1">
      <c r="A397" s="3" t="s">
        <v>6676</v>
      </c>
      <c r="B397" s="3" t="s">
        <v>6677</v>
      </c>
      <c r="C397" s="204" t="s">
        <v>1105</v>
      </c>
      <c r="D397" s="204" t="s">
        <v>1105</v>
      </c>
      <c r="E397" s="4" t="s">
        <v>3209</v>
      </c>
      <c r="F397" s="204" t="s">
        <v>1105</v>
      </c>
      <c r="G397" s="204"/>
      <c r="H397" s="204" t="s">
        <v>2276</v>
      </c>
      <c r="I397" s="204" t="s">
        <v>2276</v>
      </c>
      <c r="J397" s="204" t="s">
        <v>2276</v>
      </c>
      <c r="K397" s="204" t="s">
        <v>2276</v>
      </c>
      <c r="L397" s="204">
        <v>3</v>
      </c>
      <c r="M397" s="204" t="s">
        <v>6250</v>
      </c>
      <c r="N397" s="4" t="s">
        <v>6253</v>
      </c>
    </row>
    <row r="398" spans="1:14" s="203" customFormat="1" ht="46.5" customHeight="1">
      <c r="A398" s="3" t="s">
        <v>6676</v>
      </c>
      <c r="B398" s="204" t="s">
        <v>6679</v>
      </c>
      <c r="C398" s="204" t="s">
        <v>1105</v>
      </c>
      <c r="D398" s="204" t="s">
        <v>1105</v>
      </c>
      <c r="E398" s="4" t="s">
        <v>5801</v>
      </c>
      <c r="F398" s="204" t="s">
        <v>160</v>
      </c>
      <c r="G398" s="204"/>
      <c r="H398" s="204" t="s">
        <v>2276</v>
      </c>
      <c r="I398" s="204" t="s">
        <v>2276</v>
      </c>
      <c r="J398" s="204">
        <v>0</v>
      </c>
      <c r="K398" s="204" t="s">
        <v>5215</v>
      </c>
      <c r="L398" s="204" t="s">
        <v>2276</v>
      </c>
      <c r="M398" s="204" t="s">
        <v>2276</v>
      </c>
      <c r="N398" s="4"/>
    </row>
    <row r="399" spans="1:14" s="203" customFormat="1" ht="46.5" customHeight="1">
      <c r="A399" s="4" t="s">
        <v>6154</v>
      </c>
      <c r="B399" s="4" t="s">
        <v>6204</v>
      </c>
      <c r="C399" s="204" t="s">
        <v>1105</v>
      </c>
      <c r="D399" s="204" t="s">
        <v>1105</v>
      </c>
      <c r="E399" s="4" t="s">
        <v>5801</v>
      </c>
      <c r="F399" s="204" t="s">
        <v>160</v>
      </c>
      <c r="G399" s="204"/>
      <c r="H399" s="204" t="s">
        <v>2276</v>
      </c>
      <c r="I399" s="204" t="s">
        <v>2276</v>
      </c>
      <c r="J399" s="204">
        <v>0</v>
      </c>
      <c r="K399" s="204" t="s">
        <v>5215</v>
      </c>
      <c r="L399" s="204" t="s">
        <v>2276</v>
      </c>
      <c r="M399" s="204" t="s">
        <v>2276</v>
      </c>
      <c r="N399" s="4"/>
    </row>
    <row r="400" spans="1:14" s="203" customFormat="1" ht="46.5" customHeight="1">
      <c r="A400" s="4" t="s">
        <v>6155</v>
      </c>
      <c r="B400" s="4" t="s">
        <v>6205</v>
      </c>
      <c r="C400" s="204" t="s">
        <v>1105</v>
      </c>
      <c r="D400" s="204" t="s">
        <v>1105</v>
      </c>
      <c r="E400" s="4" t="s">
        <v>5801</v>
      </c>
      <c r="F400" s="204" t="s">
        <v>160</v>
      </c>
      <c r="G400" s="204"/>
      <c r="H400" s="204" t="s">
        <v>2276</v>
      </c>
      <c r="I400" s="204" t="s">
        <v>2276</v>
      </c>
      <c r="J400" s="204">
        <v>0</v>
      </c>
      <c r="K400" s="204" t="s">
        <v>5215</v>
      </c>
      <c r="L400" s="204" t="s">
        <v>2276</v>
      </c>
      <c r="M400" s="204" t="s">
        <v>2276</v>
      </c>
      <c r="N400" s="4"/>
    </row>
    <row r="401" spans="1:14" s="203" customFormat="1" ht="46.5" customHeight="1">
      <c r="A401" s="4" t="s">
        <v>6156</v>
      </c>
      <c r="B401" s="4" t="s">
        <v>6206</v>
      </c>
      <c r="C401" s="204" t="s">
        <v>1105</v>
      </c>
      <c r="D401" s="204" t="s">
        <v>1105</v>
      </c>
      <c r="E401" s="4" t="s">
        <v>5801</v>
      </c>
      <c r="F401" s="204" t="s">
        <v>160</v>
      </c>
      <c r="G401" s="204"/>
      <c r="H401" s="204" t="s">
        <v>2276</v>
      </c>
      <c r="I401" s="204" t="s">
        <v>2276</v>
      </c>
      <c r="J401" s="204">
        <v>0</v>
      </c>
      <c r="K401" s="204" t="s">
        <v>5215</v>
      </c>
      <c r="L401" s="204" t="s">
        <v>2276</v>
      </c>
      <c r="M401" s="204" t="s">
        <v>2276</v>
      </c>
      <c r="N401" s="4"/>
    </row>
    <row r="402" spans="1:14" s="203" customFormat="1" ht="46.5" customHeight="1">
      <c r="A402" s="4" t="s">
        <v>6157</v>
      </c>
      <c r="B402" s="4" t="s">
        <v>6207</v>
      </c>
      <c r="C402" s="204" t="s">
        <v>1105</v>
      </c>
      <c r="D402" s="204" t="s">
        <v>1105</v>
      </c>
      <c r="E402" s="4" t="s">
        <v>5801</v>
      </c>
      <c r="F402" s="204" t="s">
        <v>160</v>
      </c>
      <c r="G402" s="204"/>
      <c r="H402" s="204" t="s">
        <v>2276</v>
      </c>
      <c r="I402" s="204" t="s">
        <v>2276</v>
      </c>
      <c r="J402" s="204">
        <v>0</v>
      </c>
      <c r="K402" s="204" t="s">
        <v>5215</v>
      </c>
      <c r="L402" s="204" t="s">
        <v>2276</v>
      </c>
      <c r="M402" s="204" t="s">
        <v>2276</v>
      </c>
      <c r="N402" s="4"/>
    </row>
    <row r="403" spans="1:14" s="203" customFormat="1" ht="46.5" customHeight="1">
      <c r="A403" s="4" t="s">
        <v>6158</v>
      </c>
      <c r="B403" s="4" t="s">
        <v>6208</v>
      </c>
      <c r="C403" s="204" t="s">
        <v>1105</v>
      </c>
      <c r="D403" s="204" t="s">
        <v>1105</v>
      </c>
      <c r="E403" s="4" t="s">
        <v>5801</v>
      </c>
      <c r="F403" s="204" t="s">
        <v>160</v>
      </c>
      <c r="G403" s="204"/>
      <c r="H403" s="204" t="s">
        <v>2276</v>
      </c>
      <c r="I403" s="204" t="s">
        <v>2276</v>
      </c>
      <c r="J403" s="204">
        <v>0</v>
      </c>
      <c r="K403" s="204" t="s">
        <v>5215</v>
      </c>
      <c r="L403" s="204" t="s">
        <v>2276</v>
      </c>
      <c r="M403" s="204" t="s">
        <v>2276</v>
      </c>
      <c r="N403" s="4"/>
    </row>
    <row r="404" spans="1:14" s="203" customFormat="1" ht="46.5" customHeight="1">
      <c r="A404" s="4" t="s">
        <v>6159</v>
      </c>
      <c r="B404" s="4" t="s">
        <v>6209</v>
      </c>
      <c r="C404" s="204" t="s">
        <v>1105</v>
      </c>
      <c r="D404" s="204" t="s">
        <v>1105</v>
      </c>
      <c r="E404" s="4" t="s">
        <v>5801</v>
      </c>
      <c r="F404" s="204" t="s">
        <v>160</v>
      </c>
      <c r="G404" s="204"/>
      <c r="H404" s="204" t="s">
        <v>2276</v>
      </c>
      <c r="I404" s="204" t="s">
        <v>2276</v>
      </c>
      <c r="J404" s="204">
        <v>0</v>
      </c>
      <c r="K404" s="204" t="s">
        <v>5215</v>
      </c>
      <c r="L404" s="204" t="s">
        <v>2276</v>
      </c>
      <c r="M404" s="204"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4" t="s">
        <v>1105</v>
      </c>
      <c r="D408" s="204" t="s">
        <v>1105</v>
      </c>
      <c r="E408" s="4" t="s">
        <v>5801</v>
      </c>
      <c r="F408" s="204" t="s">
        <v>160</v>
      </c>
      <c r="G408" s="3"/>
      <c r="H408" s="3" t="s">
        <v>2276</v>
      </c>
      <c r="I408" s="3" t="s">
        <v>2276</v>
      </c>
      <c r="J408" s="3">
        <v>0</v>
      </c>
      <c r="K408" s="3" t="s">
        <v>5215</v>
      </c>
      <c r="L408" s="204" t="s">
        <v>2276</v>
      </c>
      <c r="M408" s="204" t="s">
        <v>2276</v>
      </c>
      <c r="N408" s="3"/>
    </row>
    <row r="409" spans="1:14" ht="68" customHeight="1">
      <c r="A409" s="204" t="s">
        <v>6162</v>
      </c>
      <c r="B409" s="204" t="s">
        <v>6215</v>
      </c>
      <c r="C409" s="3" t="s">
        <v>1105</v>
      </c>
      <c r="D409" s="3" t="s">
        <v>1105</v>
      </c>
      <c r="E409" s="4" t="s">
        <v>3209</v>
      </c>
      <c r="F409" s="3" t="s">
        <v>74</v>
      </c>
      <c r="G409" s="3"/>
      <c r="H409" s="3">
        <v>2</v>
      </c>
      <c r="I409" s="3" t="s">
        <v>6254</v>
      </c>
      <c r="J409" s="3">
        <v>2</v>
      </c>
      <c r="K409" s="3" t="s">
        <v>6254</v>
      </c>
      <c r="L409" s="204">
        <v>3</v>
      </c>
      <c r="M409" s="204" t="s">
        <v>6697</v>
      </c>
      <c r="N409" s="3"/>
    </row>
    <row r="410" spans="1:14" s="203" customFormat="1" ht="68" customHeight="1">
      <c r="A410" s="204" t="s">
        <v>6163</v>
      </c>
      <c r="B410" s="204" t="s">
        <v>6218</v>
      </c>
      <c r="C410" s="204" t="s">
        <v>1105</v>
      </c>
      <c r="D410" s="204" t="s">
        <v>1105</v>
      </c>
      <c r="E410" s="4" t="s">
        <v>5801</v>
      </c>
      <c r="F410" s="204" t="s">
        <v>160</v>
      </c>
      <c r="G410" s="204"/>
      <c r="H410" s="204" t="s">
        <v>2276</v>
      </c>
      <c r="I410" s="204" t="s">
        <v>2276</v>
      </c>
      <c r="J410" s="204">
        <v>0</v>
      </c>
      <c r="K410" s="204" t="s">
        <v>5215</v>
      </c>
      <c r="L410" s="204" t="s">
        <v>2276</v>
      </c>
      <c r="M410" s="204" t="s">
        <v>2276</v>
      </c>
      <c r="N410" s="204" t="s">
        <v>6714</v>
      </c>
    </row>
    <row r="411" spans="1:14" s="203" customFormat="1" ht="68" customHeight="1">
      <c r="A411" s="204" t="s">
        <v>6164</v>
      </c>
      <c r="B411" s="204" t="s">
        <v>6219</v>
      </c>
      <c r="C411" s="204" t="s">
        <v>1105</v>
      </c>
      <c r="D411" s="204" t="s">
        <v>1105</v>
      </c>
      <c r="E411" s="4" t="s">
        <v>5801</v>
      </c>
      <c r="F411" s="204" t="s">
        <v>160</v>
      </c>
      <c r="G411" s="204"/>
      <c r="H411" s="204" t="s">
        <v>2276</v>
      </c>
      <c r="I411" s="204" t="s">
        <v>2276</v>
      </c>
      <c r="J411" s="204">
        <v>0</v>
      </c>
      <c r="K411" s="204" t="s">
        <v>5215</v>
      </c>
      <c r="L411" s="204" t="s">
        <v>2276</v>
      </c>
      <c r="M411" s="204" t="s">
        <v>2276</v>
      </c>
      <c r="N411" s="204" t="s">
        <v>6714</v>
      </c>
    </row>
    <row r="412" spans="1:14" s="203" customFormat="1" ht="68" customHeight="1">
      <c r="A412" s="204" t="s">
        <v>6165</v>
      </c>
      <c r="B412" s="204" t="s">
        <v>6220</v>
      </c>
      <c r="C412" s="204" t="s">
        <v>1105</v>
      </c>
      <c r="D412" s="204" t="s">
        <v>1105</v>
      </c>
      <c r="E412" s="4" t="s">
        <v>5801</v>
      </c>
      <c r="F412" s="204" t="s">
        <v>160</v>
      </c>
      <c r="G412" s="204"/>
      <c r="H412" s="204" t="s">
        <v>2276</v>
      </c>
      <c r="I412" s="204" t="s">
        <v>2276</v>
      </c>
      <c r="J412" s="204">
        <v>0</v>
      </c>
      <c r="K412" s="204" t="s">
        <v>5215</v>
      </c>
      <c r="L412" s="204" t="s">
        <v>2276</v>
      </c>
      <c r="M412" s="204" t="s">
        <v>2276</v>
      </c>
      <c r="N412" s="204" t="s">
        <v>6714</v>
      </c>
    </row>
    <row r="413" spans="1:14" s="203" customFormat="1" ht="68" customHeight="1">
      <c r="A413" s="204" t="s">
        <v>6164</v>
      </c>
      <c r="B413" s="204" t="s">
        <v>6706</v>
      </c>
      <c r="C413" s="204" t="s">
        <v>1105</v>
      </c>
      <c r="D413" s="204" t="s">
        <v>1105</v>
      </c>
      <c r="E413" s="4" t="s">
        <v>3209</v>
      </c>
      <c r="F413" s="204" t="s">
        <v>1105</v>
      </c>
      <c r="G413" s="204"/>
      <c r="H413" s="204" t="s">
        <v>2276</v>
      </c>
      <c r="I413" s="204" t="s">
        <v>2276</v>
      </c>
      <c r="J413" s="204" t="s">
        <v>2276</v>
      </c>
      <c r="K413" s="204" t="s">
        <v>2276</v>
      </c>
      <c r="L413" s="204">
        <v>3</v>
      </c>
      <c r="M413" s="204" t="s">
        <v>6713</v>
      </c>
      <c r="N413" s="204"/>
    </row>
    <row r="414" spans="1:14" s="203" customFormat="1" ht="68" customHeight="1">
      <c r="A414" s="204" t="s">
        <v>6165</v>
      </c>
      <c r="B414" s="204" t="s">
        <v>6707</v>
      </c>
      <c r="C414" s="204" t="s">
        <v>1105</v>
      </c>
      <c r="D414" s="204" t="s">
        <v>1105</v>
      </c>
      <c r="E414" s="4" t="s">
        <v>3209</v>
      </c>
      <c r="F414" s="204" t="s">
        <v>1105</v>
      </c>
      <c r="G414" s="204"/>
      <c r="H414" s="204" t="s">
        <v>2276</v>
      </c>
      <c r="I414" s="204" t="s">
        <v>2276</v>
      </c>
      <c r="J414" s="204" t="s">
        <v>2276</v>
      </c>
      <c r="K414" s="204" t="s">
        <v>2276</v>
      </c>
      <c r="L414" s="204">
        <v>3</v>
      </c>
      <c r="M414" s="204" t="s">
        <v>6713</v>
      </c>
      <c r="N414" s="204"/>
    </row>
    <row r="415" spans="1:14" s="203" customFormat="1" ht="68" customHeight="1">
      <c r="A415" s="204" t="s">
        <v>6166</v>
      </c>
      <c r="B415" s="204" t="s">
        <v>6221</v>
      </c>
      <c r="C415" s="204" t="s">
        <v>1105</v>
      </c>
      <c r="D415" s="204" t="s">
        <v>1105</v>
      </c>
      <c r="E415" s="4" t="s">
        <v>5801</v>
      </c>
      <c r="F415" s="204" t="s">
        <v>160</v>
      </c>
      <c r="G415" s="204"/>
      <c r="H415" s="204" t="s">
        <v>2276</v>
      </c>
      <c r="I415" s="204" t="s">
        <v>2276</v>
      </c>
      <c r="J415" s="204">
        <v>0</v>
      </c>
      <c r="K415" s="4" t="s">
        <v>6806</v>
      </c>
      <c r="L415" s="204" t="s">
        <v>2276</v>
      </c>
      <c r="M415" s="204" t="s">
        <v>2276</v>
      </c>
      <c r="N415" s="204"/>
    </row>
    <row r="416" spans="1:14" s="203" customFormat="1" ht="68" customHeight="1">
      <c r="A416" s="204" t="s">
        <v>6167</v>
      </c>
      <c r="B416" s="204" t="s">
        <v>6222</v>
      </c>
      <c r="C416" s="204" t="s">
        <v>1105</v>
      </c>
      <c r="D416" s="204" t="s">
        <v>1105</v>
      </c>
      <c r="E416" s="4" t="s">
        <v>5801</v>
      </c>
      <c r="F416" s="204" t="s">
        <v>160</v>
      </c>
      <c r="G416" s="204"/>
      <c r="H416" s="204" t="s">
        <v>2276</v>
      </c>
      <c r="I416" s="204" t="s">
        <v>2276</v>
      </c>
      <c r="J416" s="204">
        <v>0</v>
      </c>
      <c r="K416" s="4" t="s">
        <v>6806</v>
      </c>
      <c r="L416" s="204" t="s">
        <v>2276</v>
      </c>
      <c r="M416" s="204" t="s">
        <v>2276</v>
      </c>
      <c r="N416" s="204"/>
    </row>
    <row r="417" spans="1:14" ht="68" customHeight="1">
      <c r="A417" s="3" t="s">
        <v>6168</v>
      </c>
      <c r="B417" s="3" t="s">
        <v>6223</v>
      </c>
      <c r="C417" s="204" t="s">
        <v>24</v>
      </c>
      <c r="D417" s="204" t="s">
        <v>25</v>
      </c>
      <c r="E417" s="4" t="s">
        <v>3855</v>
      </c>
      <c r="F417" s="204" t="s">
        <v>29</v>
      </c>
      <c r="G417" s="3"/>
      <c r="H417" s="204">
        <v>1</v>
      </c>
      <c r="I417" s="4" t="s">
        <v>6782</v>
      </c>
      <c r="J417" s="204">
        <v>1</v>
      </c>
      <c r="K417" s="4" t="s">
        <v>6783</v>
      </c>
      <c r="L417" s="204" t="s">
        <v>2276</v>
      </c>
      <c r="M417" s="52" t="s">
        <v>2276</v>
      </c>
      <c r="N417" s="204"/>
    </row>
    <row r="418" spans="1:14" ht="68" customHeight="1">
      <c r="A418" s="3" t="s">
        <v>6168</v>
      </c>
      <c r="B418" s="3" t="s">
        <v>6224</v>
      </c>
      <c r="C418" s="204" t="s">
        <v>1105</v>
      </c>
      <c r="D418" s="204" t="s">
        <v>1105</v>
      </c>
      <c r="E418" s="4" t="s">
        <v>5801</v>
      </c>
      <c r="F418" s="204" t="s">
        <v>160</v>
      </c>
      <c r="G418" s="3"/>
      <c r="H418" s="3" t="s">
        <v>2276</v>
      </c>
      <c r="I418" s="3" t="s">
        <v>2276</v>
      </c>
      <c r="J418" s="3">
        <v>0</v>
      </c>
      <c r="K418" s="3" t="s">
        <v>5215</v>
      </c>
      <c r="L418" s="3" t="s">
        <v>2276</v>
      </c>
      <c r="M418" s="3" t="s">
        <v>2276</v>
      </c>
      <c r="N418" s="3"/>
    </row>
    <row r="419" spans="1:14" ht="68" customHeight="1">
      <c r="A419" s="204" t="s">
        <v>6168</v>
      </c>
      <c r="B419" s="204" t="s">
        <v>6225</v>
      </c>
      <c r="C419" s="204" t="s">
        <v>1105</v>
      </c>
      <c r="D419" s="204" t="s">
        <v>1105</v>
      </c>
      <c r="E419" s="4" t="s">
        <v>3209</v>
      </c>
      <c r="F419" s="4" t="s">
        <v>2276</v>
      </c>
      <c r="G419" s="3"/>
      <c r="H419" s="204">
        <v>1</v>
      </c>
      <c r="I419" s="4" t="s">
        <v>6784</v>
      </c>
      <c r="J419" s="204">
        <v>2</v>
      </c>
      <c r="K419" s="4" t="s">
        <v>6785</v>
      </c>
      <c r="L419" s="204">
        <v>3</v>
      </c>
      <c r="M419" s="4" t="s">
        <v>6786</v>
      </c>
      <c r="N419" s="3"/>
    </row>
    <row r="420" spans="1:14" s="203" customFormat="1" ht="68" customHeight="1">
      <c r="A420" s="204" t="s">
        <v>6168</v>
      </c>
      <c r="B420" s="204" t="s">
        <v>6226</v>
      </c>
      <c r="C420" s="204" t="s">
        <v>24</v>
      </c>
      <c r="D420" s="204" t="s">
        <v>2659</v>
      </c>
      <c r="E420" s="4" t="s">
        <v>3855</v>
      </c>
      <c r="F420" s="4" t="s">
        <v>28</v>
      </c>
      <c r="G420" s="204"/>
      <c r="H420" s="204">
        <v>0</v>
      </c>
      <c r="I420" s="4" t="s">
        <v>6789</v>
      </c>
      <c r="J420" s="204" t="s">
        <v>2276</v>
      </c>
      <c r="K420" s="204" t="s">
        <v>2276</v>
      </c>
      <c r="L420" s="204" t="s">
        <v>2276</v>
      </c>
      <c r="M420" s="204" t="s">
        <v>2276</v>
      </c>
      <c r="N420" s="204"/>
    </row>
    <row r="421" spans="1:14" ht="68" customHeight="1">
      <c r="A421" s="204" t="s">
        <v>6169</v>
      </c>
      <c r="B421" s="204" t="s">
        <v>6229</v>
      </c>
      <c r="C421" s="204" t="s">
        <v>24</v>
      </c>
      <c r="D421" s="204" t="s">
        <v>25</v>
      </c>
      <c r="E421" s="4" t="s">
        <v>3855</v>
      </c>
      <c r="F421" s="204" t="s">
        <v>29</v>
      </c>
      <c r="G421" s="204"/>
      <c r="H421" s="204">
        <v>1</v>
      </c>
      <c r="I421" s="4" t="s">
        <v>6782</v>
      </c>
      <c r="J421" s="204">
        <v>1</v>
      </c>
      <c r="K421" s="4" t="s">
        <v>6783</v>
      </c>
      <c r="L421" s="204" t="s">
        <v>2276</v>
      </c>
      <c r="M421" s="52" t="s">
        <v>2276</v>
      </c>
      <c r="N421" s="204"/>
    </row>
    <row r="422" spans="1:14" ht="68" customHeight="1">
      <c r="A422" s="204" t="s">
        <v>6169</v>
      </c>
      <c r="B422" s="204" t="s">
        <v>6716</v>
      </c>
      <c r="C422" s="204" t="s">
        <v>1105</v>
      </c>
      <c r="D422" s="204" t="s">
        <v>1105</v>
      </c>
      <c r="E422" s="4" t="s">
        <v>5801</v>
      </c>
      <c r="F422" s="204" t="s">
        <v>160</v>
      </c>
      <c r="G422" s="204"/>
      <c r="H422" s="204" t="s">
        <v>2276</v>
      </c>
      <c r="I422" s="204" t="s">
        <v>2276</v>
      </c>
      <c r="J422" s="204">
        <v>0</v>
      </c>
      <c r="K422" s="204" t="s">
        <v>5215</v>
      </c>
      <c r="L422" s="204" t="s">
        <v>2276</v>
      </c>
      <c r="M422" s="204" t="s">
        <v>2276</v>
      </c>
      <c r="N422" s="204"/>
    </row>
    <row r="423" spans="1:14" ht="68" customHeight="1">
      <c r="A423" s="204" t="s">
        <v>6169</v>
      </c>
      <c r="B423" s="204" t="s">
        <v>6717</v>
      </c>
      <c r="C423" s="204" t="s">
        <v>1105</v>
      </c>
      <c r="D423" s="204" t="s">
        <v>1105</v>
      </c>
      <c r="E423" s="4" t="s">
        <v>3209</v>
      </c>
      <c r="F423" s="4" t="s">
        <v>2276</v>
      </c>
      <c r="G423" s="204"/>
      <c r="H423" s="204">
        <v>1</v>
      </c>
      <c r="I423" s="4" t="s">
        <v>6784</v>
      </c>
      <c r="J423" s="204">
        <v>2</v>
      </c>
      <c r="K423" s="4" t="s">
        <v>6785</v>
      </c>
      <c r="L423" s="204">
        <v>3</v>
      </c>
      <c r="M423" s="4" t="s">
        <v>6786</v>
      </c>
      <c r="N423" s="204"/>
    </row>
    <row r="424" spans="1:14" s="203" customFormat="1" ht="68" customHeight="1">
      <c r="A424" s="204" t="s">
        <v>6169</v>
      </c>
      <c r="B424" s="204" t="s">
        <v>6718</v>
      </c>
      <c r="C424" s="204" t="s">
        <v>24</v>
      </c>
      <c r="D424" s="204" t="s">
        <v>2659</v>
      </c>
      <c r="E424" s="4" t="s">
        <v>3855</v>
      </c>
      <c r="F424" s="4" t="s">
        <v>28</v>
      </c>
      <c r="G424" s="204"/>
      <c r="H424" s="204">
        <v>0</v>
      </c>
      <c r="I424" s="4" t="s">
        <v>6789</v>
      </c>
      <c r="J424" s="204" t="s">
        <v>2276</v>
      </c>
      <c r="K424" s="204" t="s">
        <v>2276</v>
      </c>
      <c r="L424" s="204" t="s">
        <v>2276</v>
      </c>
      <c r="M424" s="204" t="s">
        <v>2276</v>
      </c>
      <c r="N424" s="204"/>
    </row>
    <row r="425" spans="1:14" ht="68" customHeight="1">
      <c r="A425" s="204" t="s">
        <v>6170</v>
      </c>
      <c r="B425" s="204" t="s">
        <v>6230</v>
      </c>
      <c r="C425" s="204" t="s">
        <v>24</v>
      </c>
      <c r="D425" s="204" t="s">
        <v>25</v>
      </c>
      <c r="E425" s="4" t="s">
        <v>3855</v>
      </c>
      <c r="F425" s="204" t="s">
        <v>29</v>
      </c>
      <c r="G425" s="204"/>
      <c r="H425" s="204">
        <v>1</v>
      </c>
      <c r="I425" s="4" t="s">
        <v>6782</v>
      </c>
      <c r="J425" s="204">
        <v>1</v>
      </c>
      <c r="K425" s="4" t="s">
        <v>6783</v>
      </c>
      <c r="L425" s="204" t="s">
        <v>2276</v>
      </c>
      <c r="M425" s="52" t="s">
        <v>2276</v>
      </c>
      <c r="N425" s="204"/>
    </row>
    <row r="426" spans="1:14" ht="68" customHeight="1">
      <c r="A426" s="204" t="s">
        <v>6170</v>
      </c>
      <c r="B426" s="204" t="s">
        <v>6722</v>
      </c>
      <c r="C426" s="204" t="s">
        <v>1105</v>
      </c>
      <c r="D426" s="204" t="s">
        <v>1105</v>
      </c>
      <c r="E426" s="4" t="s">
        <v>5801</v>
      </c>
      <c r="F426" s="204" t="s">
        <v>160</v>
      </c>
      <c r="G426" s="204"/>
      <c r="H426" s="204" t="s">
        <v>2276</v>
      </c>
      <c r="I426" s="204" t="s">
        <v>2276</v>
      </c>
      <c r="J426" s="204">
        <v>0</v>
      </c>
      <c r="K426" s="204" t="s">
        <v>5215</v>
      </c>
      <c r="L426" s="204" t="s">
        <v>2276</v>
      </c>
      <c r="M426" s="204" t="s">
        <v>2276</v>
      </c>
      <c r="N426" s="204"/>
    </row>
    <row r="427" spans="1:14" ht="68" customHeight="1">
      <c r="A427" s="204" t="s">
        <v>6170</v>
      </c>
      <c r="B427" s="204" t="s">
        <v>6723</v>
      </c>
      <c r="C427" s="204" t="s">
        <v>1105</v>
      </c>
      <c r="D427" s="204" t="s">
        <v>1105</v>
      </c>
      <c r="E427" s="4" t="s">
        <v>3209</v>
      </c>
      <c r="F427" s="4" t="s">
        <v>2276</v>
      </c>
      <c r="G427" s="204"/>
      <c r="H427" s="204">
        <v>1</v>
      </c>
      <c r="I427" s="4" t="s">
        <v>6784</v>
      </c>
      <c r="J427" s="204">
        <v>2</v>
      </c>
      <c r="K427" s="4" t="s">
        <v>6785</v>
      </c>
      <c r="L427" s="204">
        <v>3</v>
      </c>
      <c r="M427" s="4" t="s">
        <v>6786</v>
      </c>
      <c r="N427" s="204"/>
    </row>
    <row r="428" spans="1:14" ht="68" customHeight="1">
      <c r="A428" s="204" t="s">
        <v>6170</v>
      </c>
      <c r="B428" s="204" t="s">
        <v>6724</v>
      </c>
      <c r="C428" s="204" t="s">
        <v>24</v>
      </c>
      <c r="D428" s="204" t="s">
        <v>2659</v>
      </c>
      <c r="E428" s="4" t="s">
        <v>3855</v>
      </c>
      <c r="F428" s="4" t="s">
        <v>28</v>
      </c>
      <c r="G428" s="204"/>
      <c r="H428" s="204">
        <v>0</v>
      </c>
      <c r="I428" s="4" t="s">
        <v>6789</v>
      </c>
      <c r="J428" s="204" t="s">
        <v>2276</v>
      </c>
      <c r="K428" s="204" t="s">
        <v>2276</v>
      </c>
      <c r="L428" s="204" t="s">
        <v>2276</v>
      </c>
      <c r="M428" s="204" t="s">
        <v>2276</v>
      </c>
      <c r="N428" s="204"/>
    </row>
    <row r="429" spans="1:14" ht="68" customHeight="1">
      <c r="A429" s="204" t="s">
        <v>6171</v>
      </c>
      <c r="B429" s="204" t="s">
        <v>6231</v>
      </c>
      <c r="C429" s="204" t="s">
        <v>24</v>
      </c>
      <c r="D429" s="204" t="s">
        <v>25</v>
      </c>
      <c r="E429" s="4" t="s">
        <v>3855</v>
      </c>
      <c r="F429" s="204" t="s">
        <v>29</v>
      </c>
      <c r="G429" s="204"/>
      <c r="H429" s="204">
        <v>1</v>
      </c>
      <c r="I429" s="4" t="s">
        <v>6782</v>
      </c>
      <c r="J429" s="204">
        <v>1</v>
      </c>
      <c r="K429" s="4" t="s">
        <v>6783</v>
      </c>
      <c r="L429" s="204" t="s">
        <v>2276</v>
      </c>
      <c r="M429" s="52" t="s">
        <v>2276</v>
      </c>
      <c r="N429" s="204"/>
    </row>
    <row r="430" spans="1:14" ht="68" customHeight="1">
      <c r="A430" s="204" t="s">
        <v>6171</v>
      </c>
      <c r="B430" s="204" t="s">
        <v>6728</v>
      </c>
      <c r="C430" s="204" t="s">
        <v>1105</v>
      </c>
      <c r="D430" s="204" t="s">
        <v>1105</v>
      </c>
      <c r="E430" s="4" t="s">
        <v>5801</v>
      </c>
      <c r="F430" s="204" t="s">
        <v>160</v>
      </c>
      <c r="G430" s="204"/>
      <c r="H430" s="204" t="s">
        <v>2276</v>
      </c>
      <c r="I430" s="204" t="s">
        <v>2276</v>
      </c>
      <c r="J430" s="204">
        <v>0</v>
      </c>
      <c r="K430" s="204" t="s">
        <v>5215</v>
      </c>
      <c r="L430" s="204" t="s">
        <v>2276</v>
      </c>
      <c r="M430" s="204" t="s">
        <v>2276</v>
      </c>
      <c r="N430" s="204"/>
    </row>
    <row r="431" spans="1:14" ht="68" customHeight="1">
      <c r="A431" s="204" t="s">
        <v>6171</v>
      </c>
      <c r="B431" s="204" t="s">
        <v>6729</v>
      </c>
      <c r="C431" s="204" t="s">
        <v>1105</v>
      </c>
      <c r="D431" s="204" t="s">
        <v>1105</v>
      </c>
      <c r="E431" s="4" t="s">
        <v>3209</v>
      </c>
      <c r="F431" s="4" t="s">
        <v>2276</v>
      </c>
      <c r="G431" s="204"/>
      <c r="H431" s="204">
        <v>1</v>
      </c>
      <c r="I431" s="4" t="s">
        <v>6784</v>
      </c>
      <c r="J431" s="204">
        <v>2</v>
      </c>
      <c r="K431" s="4" t="s">
        <v>6785</v>
      </c>
      <c r="L431" s="204">
        <v>3</v>
      </c>
      <c r="M431" s="4" t="s">
        <v>6786</v>
      </c>
      <c r="N431" s="204"/>
    </row>
    <row r="432" spans="1:14" ht="68" customHeight="1">
      <c r="A432" s="204" t="s">
        <v>6171</v>
      </c>
      <c r="B432" s="204" t="s">
        <v>6730</v>
      </c>
      <c r="C432" s="204" t="s">
        <v>24</v>
      </c>
      <c r="D432" s="204" t="s">
        <v>2659</v>
      </c>
      <c r="E432" s="4" t="s">
        <v>3855</v>
      </c>
      <c r="F432" s="4" t="s">
        <v>28</v>
      </c>
      <c r="G432" s="204"/>
      <c r="H432" s="204">
        <v>0</v>
      </c>
      <c r="I432" s="4" t="s">
        <v>6789</v>
      </c>
      <c r="J432" s="204" t="s">
        <v>2276</v>
      </c>
      <c r="K432" s="204" t="s">
        <v>2276</v>
      </c>
      <c r="L432" s="204" t="s">
        <v>2276</v>
      </c>
      <c r="M432" s="204" t="s">
        <v>2276</v>
      </c>
      <c r="N432" s="204"/>
    </row>
    <row r="433" spans="1:14" ht="68" customHeight="1">
      <c r="A433" s="204" t="s">
        <v>6172</v>
      </c>
      <c r="B433" s="204" t="s">
        <v>6232</v>
      </c>
      <c r="C433" s="204" t="s">
        <v>24</v>
      </c>
      <c r="D433" s="204" t="s">
        <v>25</v>
      </c>
      <c r="E433" s="4" t="s">
        <v>3855</v>
      </c>
      <c r="F433" s="204" t="s">
        <v>29</v>
      </c>
      <c r="G433" s="204"/>
      <c r="H433" s="204">
        <v>1</v>
      </c>
      <c r="I433" s="4" t="s">
        <v>6782</v>
      </c>
      <c r="J433" s="204">
        <v>1</v>
      </c>
      <c r="K433" s="4" t="s">
        <v>6783</v>
      </c>
      <c r="L433" s="204" t="s">
        <v>2276</v>
      </c>
      <c r="M433" s="52" t="s">
        <v>2276</v>
      </c>
      <c r="N433" s="204"/>
    </row>
    <row r="434" spans="1:14" s="203" customFormat="1" ht="68" customHeight="1">
      <c r="A434" s="204" t="s">
        <v>6172</v>
      </c>
      <c r="B434" s="204" t="s">
        <v>6734</v>
      </c>
      <c r="C434" s="204" t="s">
        <v>1105</v>
      </c>
      <c r="D434" s="204" t="s">
        <v>1105</v>
      </c>
      <c r="E434" s="4" t="s">
        <v>5801</v>
      </c>
      <c r="F434" s="204" t="s">
        <v>160</v>
      </c>
      <c r="G434" s="204"/>
      <c r="H434" s="204" t="s">
        <v>2276</v>
      </c>
      <c r="I434" s="204" t="s">
        <v>2276</v>
      </c>
      <c r="J434" s="204">
        <v>0</v>
      </c>
      <c r="K434" s="204" t="s">
        <v>5215</v>
      </c>
      <c r="L434" s="204" t="s">
        <v>2276</v>
      </c>
      <c r="M434" s="204" t="s">
        <v>2276</v>
      </c>
      <c r="N434" s="204"/>
    </row>
    <row r="435" spans="1:14" s="203" customFormat="1" ht="68" customHeight="1">
      <c r="A435" s="204" t="s">
        <v>6172</v>
      </c>
      <c r="B435" s="204" t="s">
        <v>6735</v>
      </c>
      <c r="C435" s="204" t="s">
        <v>1105</v>
      </c>
      <c r="D435" s="204" t="s">
        <v>1105</v>
      </c>
      <c r="E435" s="4" t="s">
        <v>3209</v>
      </c>
      <c r="F435" s="4" t="s">
        <v>2276</v>
      </c>
      <c r="G435" s="204"/>
      <c r="H435" s="204">
        <v>1</v>
      </c>
      <c r="I435" s="4" t="s">
        <v>6784</v>
      </c>
      <c r="J435" s="204">
        <v>2</v>
      </c>
      <c r="K435" s="4" t="s">
        <v>6785</v>
      </c>
      <c r="L435" s="204">
        <v>3</v>
      </c>
      <c r="M435" s="4" t="s">
        <v>6786</v>
      </c>
      <c r="N435" s="204"/>
    </row>
    <row r="436" spans="1:14" s="203" customFormat="1" ht="68" customHeight="1">
      <c r="A436" s="204" t="s">
        <v>6172</v>
      </c>
      <c r="B436" s="204" t="s">
        <v>6736</v>
      </c>
      <c r="C436" s="204" t="s">
        <v>24</v>
      </c>
      <c r="D436" s="204" t="s">
        <v>2659</v>
      </c>
      <c r="E436" s="4" t="s">
        <v>3855</v>
      </c>
      <c r="F436" s="4" t="s">
        <v>28</v>
      </c>
      <c r="G436" s="204"/>
      <c r="H436" s="204">
        <v>0</v>
      </c>
      <c r="I436" s="4" t="s">
        <v>6789</v>
      </c>
      <c r="J436" s="204" t="s">
        <v>2276</v>
      </c>
      <c r="K436" s="204" t="s">
        <v>2276</v>
      </c>
      <c r="L436" s="204" t="s">
        <v>2276</v>
      </c>
      <c r="M436" s="204" t="s">
        <v>2276</v>
      </c>
      <c r="N436" s="204"/>
    </row>
    <row r="437" spans="1:14" s="203" customFormat="1" ht="68" customHeight="1">
      <c r="A437" s="204" t="s">
        <v>6173</v>
      </c>
      <c r="B437" s="204" t="s">
        <v>6233</v>
      </c>
      <c r="C437" s="204" t="s">
        <v>24</v>
      </c>
      <c r="D437" s="204" t="s">
        <v>25</v>
      </c>
      <c r="E437" s="4" t="s">
        <v>3855</v>
      </c>
      <c r="F437" s="204" t="s">
        <v>29</v>
      </c>
      <c r="G437" s="204"/>
      <c r="H437" s="204">
        <v>1</v>
      </c>
      <c r="I437" s="4" t="s">
        <v>6782</v>
      </c>
      <c r="J437" s="204">
        <v>1</v>
      </c>
      <c r="K437" s="4" t="s">
        <v>6783</v>
      </c>
      <c r="L437" s="204" t="s">
        <v>2276</v>
      </c>
      <c r="M437" s="52" t="s">
        <v>2276</v>
      </c>
      <c r="N437" s="204"/>
    </row>
    <row r="438" spans="1:14" s="203" customFormat="1" ht="68" customHeight="1">
      <c r="A438" s="204" t="s">
        <v>6173</v>
      </c>
      <c r="B438" s="204" t="s">
        <v>6740</v>
      </c>
      <c r="C438" s="204" t="s">
        <v>1105</v>
      </c>
      <c r="D438" s="204" t="s">
        <v>1105</v>
      </c>
      <c r="E438" s="4" t="s">
        <v>5801</v>
      </c>
      <c r="F438" s="204" t="s">
        <v>160</v>
      </c>
      <c r="G438" s="204"/>
      <c r="H438" s="204" t="s">
        <v>2276</v>
      </c>
      <c r="I438" s="204" t="s">
        <v>2276</v>
      </c>
      <c r="J438" s="204">
        <v>0</v>
      </c>
      <c r="K438" s="204" t="s">
        <v>5215</v>
      </c>
      <c r="L438" s="204" t="s">
        <v>2276</v>
      </c>
      <c r="M438" s="204" t="s">
        <v>2276</v>
      </c>
      <c r="N438" s="204"/>
    </row>
    <row r="439" spans="1:14" s="203" customFormat="1" ht="68" customHeight="1">
      <c r="A439" s="204" t="s">
        <v>6173</v>
      </c>
      <c r="B439" s="204" t="s">
        <v>6741</v>
      </c>
      <c r="C439" s="204" t="s">
        <v>1105</v>
      </c>
      <c r="D439" s="204" t="s">
        <v>1105</v>
      </c>
      <c r="E439" s="4" t="s">
        <v>3209</v>
      </c>
      <c r="F439" s="4" t="s">
        <v>2276</v>
      </c>
      <c r="G439" s="204"/>
      <c r="H439" s="204">
        <v>1</v>
      </c>
      <c r="I439" s="4" t="s">
        <v>6784</v>
      </c>
      <c r="J439" s="204">
        <v>2</v>
      </c>
      <c r="K439" s="4" t="s">
        <v>6785</v>
      </c>
      <c r="L439" s="204">
        <v>3</v>
      </c>
      <c r="M439" s="4" t="s">
        <v>6786</v>
      </c>
      <c r="N439" s="204"/>
    </row>
    <row r="440" spans="1:14" s="203" customFormat="1" ht="68" customHeight="1">
      <c r="A440" s="204" t="s">
        <v>6173</v>
      </c>
      <c r="B440" s="204" t="s">
        <v>6742</v>
      </c>
      <c r="C440" s="204" t="s">
        <v>24</v>
      </c>
      <c r="D440" s="204" t="s">
        <v>2659</v>
      </c>
      <c r="E440" s="4" t="s">
        <v>3855</v>
      </c>
      <c r="F440" s="4" t="s">
        <v>28</v>
      </c>
      <c r="G440" s="204"/>
      <c r="H440" s="204">
        <v>0</v>
      </c>
      <c r="I440" s="4" t="s">
        <v>6789</v>
      </c>
      <c r="J440" s="204" t="s">
        <v>2276</v>
      </c>
      <c r="K440" s="204" t="s">
        <v>2276</v>
      </c>
      <c r="L440" s="204" t="s">
        <v>2276</v>
      </c>
      <c r="M440" s="204" t="s">
        <v>2276</v>
      </c>
      <c r="N440" s="204"/>
    </row>
    <row r="441" spans="1:14" s="203" customFormat="1" ht="68" customHeight="1">
      <c r="A441" s="204" t="s">
        <v>6174</v>
      </c>
      <c r="B441" s="204" t="s">
        <v>6234</v>
      </c>
      <c r="C441" s="204" t="s">
        <v>24</v>
      </c>
      <c r="D441" s="204" t="s">
        <v>25</v>
      </c>
      <c r="E441" s="4" t="s">
        <v>3855</v>
      </c>
      <c r="F441" s="204" t="s">
        <v>29</v>
      </c>
      <c r="G441" s="204"/>
      <c r="H441" s="204">
        <v>1</v>
      </c>
      <c r="I441" s="4" t="s">
        <v>6782</v>
      </c>
      <c r="J441" s="204">
        <v>1</v>
      </c>
      <c r="K441" s="4" t="s">
        <v>6783</v>
      </c>
      <c r="L441" s="204" t="s">
        <v>2276</v>
      </c>
      <c r="M441" s="52" t="s">
        <v>2276</v>
      </c>
      <c r="N441" s="204"/>
    </row>
    <row r="442" spans="1:14" s="203" customFormat="1" ht="68" customHeight="1">
      <c r="A442" s="204" t="s">
        <v>6174</v>
      </c>
      <c r="B442" s="204" t="s">
        <v>6746</v>
      </c>
      <c r="C442" s="204" t="s">
        <v>1105</v>
      </c>
      <c r="D442" s="204" t="s">
        <v>1105</v>
      </c>
      <c r="E442" s="4" t="s">
        <v>5801</v>
      </c>
      <c r="F442" s="204" t="s">
        <v>160</v>
      </c>
      <c r="G442" s="204"/>
      <c r="H442" s="204" t="s">
        <v>2276</v>
      </c>
      <c r="I442" s="204" t="s">
        <v>2276</v>
      </c>
      <c r="J442" s="204">
        <v>0</v>
      </c>
      <c r="K442" s="204" t="s">
        <v>5215</v>
      </c>
      <c r="L442" s="204" t="s">
        <v>2276</v>
      </c>
      <c r="M442" s="204" t="s">
        <v>2276</v>
      </c>
      <c r="N442" s="204"/>
    </row>
    <row r="443" spans="1:14" s="203" customFormat="1" ht="68" customHeight="1">
      <c r="A443" s="204" t="s">
        <v>6174</v>
      </c>
      <c r="B443" s="204" t="s">
        <v>6747</v>
      </c>
      <c r="C443" s="204" t="s">
        <v>1105</v>
      </c>
      <c r="D443" s="204" t="s">
        <v>1105</v>
      </c>
      <c r="E443" s="4" t="s">
        <v>3209</v>
      </c>
      <c r="F443" s="4" t="s">
        <v>2276</v>
      </c>
      <c r="G443" s="204"/>
      <c r="H443" s="204">
        <v>1</v>
      </c>
      <c r="I443" s="4" t="s">
        <v>6784</v>
      </c>
      <c r="J443" s="204">
        <v>2</v>
      </c>
      <c r="K443" s="4" t="s">
        <v>6785</v>
      </c>
      <c r="L443" s="204">
        <v>3</v>
      </c>
      <c r="M443" s="4" t="s">
        <v>6786</v>
      </c>
      <c r="N443" s="204"/>
    </row>
    <row r="444" spans="1:14" s="203" customFormat="1" ht="68" customHeight="1">
      <c r="A444" s="204" t="s">
        <v>6174</v>
      </c>
      <c r="B444" s="204" t="s">
        <v>6748</v>
      </c>
      <c r="C444" s="204" t="s">
        <v>24</v>
      </c>
      <c r="D444" s="204" t="s">
        <v>2659</v>
      </c>
      <c r="E444" s="4" t="s">
        <v>3855</v>
      </c>
      <c r="F444" s="4" t="s">
        <v>28</v>
      </c>
      <c r="G444" s="204"/>
      <c r="H444" s="204">
        <v>0</v>
      </c>
      <c r="I444" s="4" t="s">
        <v>6789</v>
      </c>
      <c r="J444" s="204" t="s">
        <v>2276</v>
      </c>
      <c r="K444" s="204" t="s">
        <v>2276</v>
      </c>
      <c r="L444" s="204" t="s">
        <v>2276</v>
      </c>
      <c r="M444" s="204" t="s">
        <v>2276</v>
      </c>
      <c r="N444" s="204"/>
    </row>
    <row r="445" spans="1:14" s="203" customFormat="1" ht="68" customHeight="1">
      <c r="A445" s="204" t="s">
        <v>6175</v>
      </c>
      <c r="B445" s="204" t="s">
        <v>6235</v>
      </c>
      <c r="C445" s="204" t="s">
        <v>24</v>
      </c>
      <c r="D445" s="204" t="s">
        <v>25</v>
      </c>
      <c r="E445" s="4" t="s">
        <v>3855</v>
      </c>
      <c r="F445" s="204" t="s">
        <v>29</v>
      </c>
      <c r="G445" s="204"/>
      <c r="H445" s="204">
        <v>1</v>
      </c>
      <c r="I445" s="4" t="s">
        <v>6782</v>
      </c>
      <c r="J445" s="204">
        <v>1</v>
      </c>
      <c r="K445" s="4" t="s">
        <v>6783</v>
      </c>
      <c r="L445" s="204" t="s">
        <v>2276</v>
      </c>
      <c r="M445" s="52" t="s">
        <v>2276</v>
      </c>
      <c r="N445" s="204"/>
    </row>
    <row r="446" spans="1:14" s="203" customFormat="1" ht="68" customHeight="1">
      <c r="A446" s="204" t="s">
        <v>6175</v>
      </c>
      <c r="B446" s="204" t="s">
        <v>6752</v>
      </c>
      <c r="C446" s="204" t="s">
        <v>1105</v>
      </c>
      <c r="D446" s="204" t="s">
        <v>1105</v>
      </c>
      <c r="E446" s="4" t="s">
        <v>5801</v>
      </c>
      <c r="F446" s="204" t="s">
        <v>160</v>
      </c>
      <c r="G446" s="204"/>
      <c r="H446" s="204" t="s">
        <v>2276</v>
      </c>
      <c r="I446" s="204" t="s">
        <v>2276</v>
      </c>
      <c r="J446" s="204">
        <v>0</v>
      </c>
      <c r="K446" s="204" t="s">
        <v>5215</v>
      </c>
      <c r="L446" s="204" t="s">
        <v>2276</v>
      </c>
      <c r="M446" s="204" t="s">
        <v>2276</v>
      </c>
      <c r="N446" s="204"/>
    </row>
    <row r="447" spans="1:14" s="203" customFormat="1" ht="68" customHeight="1">
      <c r="A447" s="204" t="s">
        <v>6175</v>
      </c>
      <c r="B447" s="204" t="s">
        <v>6753</v>
      </c>
      <c r="C447" s="204" t="s">
        <v>1105</v>
      </c>
      <c r="D447" s="204" t="s">
        <v>1105</v>
      </c>
      <c r="E447" s="4" t="s">
        <v>3209</v>
      </c>
      <c r="F447" s="4" t="s">
        <v>2276</v>
      </c>
      <c r="G447" s="204"/>
      <c r="H447" s="204">
        <v>1</v>
      </c>
      <c r="I447" s="4" t="s">
        <v>6784</v>
      </c>
      <c r="J447" s="204">
        <v>2</v>
      </c>
      <c r="K447" s="4" t="s">
        <v>6785</v>
      </c>
      <c r="L447" s="204">
        <v>3</v>
      </c>
      <c r="M447" s="4" t="s">
        <v>6786</v>
      </c>
      <c r="N447" s="204"/>
    </row>
    <row r="448" spans="1:14" s="203" customFormat="1" ht="68" customHeight="1">
      <c r="A448" s="204" t="s">
        <v>6175</v>
      </c>
      <c r="B448" s="204" t="s">
        <v>6754</v>
      </c>
      <c r="C448" s="204" t="s">
        <v>24</v>
      </c>
      <c r="D448" s="204" t="s">
        <v>2659</v>
      </c>
      <c r="E448" s="4" t="s">
        <v>3855</v>
      </c>
      <c r="F448" s="4" t="s">
        <v>28</v>
      </c>
      <c r="G448" s="204"/>
      <c r="H448" s="204">
        <v>0</v>
      </c>
      <c r="I448" s="4" t="s">
        <v>6789</v>
      </c>
      <c r="J448" s="204" t="s">
        <v>2276</v>
      </c>
      <c r="K448" s="204" t="s">
        <v>2276</v>
      </c>
      <c r="L448" s="204" t="s">
        <v>2276</v>
      </c>
      <c r="M448" s="204" t="s">
        <v>2276</v>
      </c>
      <c r="N448" s="204"/>
    </row>
    <row r="449" spans="1:14" s="203" customFormat="1" ht="68" customHeight="1">
      <c r="A449" s="204" t="s">
        <v>6176</v>
      </c>
      <c r="B449" s="204" t="s">
        <v>6236</v>
      </c>
      <c r="C449" s="204" t="s">
        <v>24</v>
      </c>
      <c r="D449" s="204" t="s">
        <v>25</v>
      </c>
      <c r="E449" s="4" t="s">
        <v>3855</v>
      </c>
      <c r="F449" s="204" t="s">
        <v>29</v>
      </c>
      <c r="G449" s="204"/>
      <c r="H449" s="204">
        <v>1</v>
      </c>
      <c r="I449" s="4" t="s">
        <v>6782</v>
      </c>
      <c r="J449" s="204">
        <v>1</v>
      </c>
      <c r="K449" s="4" t="s">
        <v>6783</v>
      </c>
      <c r="L449" s="204" t="s">
        <v>2276</v>
      </c>
      <c r="M449" s="52" t="s">
        <v>2276</v>
      </c>
      <c r="N449" s="204"/>
    </row>
    <row r="450" spans="1:14" s="203" customFormat="1" ht="68" customHeight="1">
      <c r="A450" s="204" t="s">
        <v>6176</v>
      </c>
      <c r="B450" s="204" t="s">
        <v>6758</v>
      </c>
      <c r="C450" s="204" t="s">
        <v>1105</v>
      </c>
      <c r="D450" s="204" t="s">
        <v>1105</v>
      </c>
      <c r="E450" s="4" t="s">
        <v>5801</v>
      </c>
      <c r="F450" s="204" t="s">
        <v>160</v>
      </c>
      <c r="G450" s="204"/>
      <c r="H450" s="204" t="s">
        <v>2276</v>
      </c>
      <c r="I450" s="204" t="s">
        <v>2276</v>
      </c>
      <c r="J450" s="204">
        <v>0</v>
      </c>
      <c r="K450" s="204" t="s">
        <v>5215</v>
      </c>
      <c r="L450" s="204" t="s">
        <v>2276</v>
      </c>
      <c r="M450" s="204" t="s">
        <v>2276</v>
      </c>
      <c r="N450" s="204"/>
    </row>
    <row r="451" spans="1:14" s="203" customFormat="1" ht="68" customHeight="1">
      <c r="A451" s="204" t="s">
        <v>6176</v>
      </c>
      <c r="B451" s="204" t="s">
        <v>6759</v>
      </c>
      <c r="C451" s="204" t="s">
        <v>1105</v>
      </c>
      <c r="D451" s="204" t="s">
        <v>1105</v>
      </c>
      <c r="E451" s="4" t="s">
        <v>3209</v>
      </c>
      <c r="F451" s="4" t="s">
        <v>2276</v>
      </c>
      <c r="G451" s="204"/>
      <c r="H451" s="204">
        <v>1</v>
      </c>
      <c r="I451" s="4" t="s">
        <v>6784</v>
      </c>
      <c r="J451" s="204">
        <v>2</v>
      </c>
      <c r="K451" s="4" t="s">
        <v>6785</v>
      </c>
      <c r="L451" s="204">
        <v>3</v>
      </c>
      <c r="M451" s="4" t="s">
        <v>6786</v>
      </c>
      <c r="N451" s="204"/>
    </row>
    <row r="452" spans="1:14" s="203" customFormat="1" ht="68" customHeight="1">
      <c r="A452" s="204" t="s">
        <v>6176</v>
      </c>
      <c r="B452" s="204" t="s">
        <v>6760</v>
      </c>
      <c r="C452" s="204" t="s">
        <v>24</v>
      </c>
      <c r="D452" s="204" t="s">
        <v>2659</v>
      </c>
      <c r="E452" s="4" t="s">
        <v>3855</v>
      </c>
      <c r="F452" s="4" t="s">
        <v>28</v>
      </c>
      <c r="G452" s="204"/>
      <c r="H452" s="204">
        <v>0</v>
      </c>
      <c r="I452" s="4" t="s">
        <v>6789</v>
      </c>
      <c r="J452" s="204" t="s">
        <v>2276</v>
      </c>
      <c r="K452" s="204" t="s">
        <v>2276</v>
      </c>
      <c r="L452" s="204" t="s">
        <v>2276</v>
      </c>
      <c r="M452" s="204" t="s">
        <v>2276</v>
      </c>
      <c r="N452" s="204"/>
    </row>
    <row r="453" spans="1:14" s="203" customFormat="1" ht="68" customHeight="1">
      <c r="A453" s="204" t="s">
        <v>6177</v>
      </c>
      <c r="B453" s="204" t="s">
        <v>6237</v>
      </c>
      <c r="C453" s="204" t="s">
        <v>24</v>
      </c>
      <c r="D453" s="204" t="s">
        <v>25</v>
      </c>
      <c r="E453" s="4" t="s">
        <v>3855</v>
      </c>
      <c r="F453" s="204" t="s">
        <v>29</v>
      </c>
      <c r="G453" s="204"/>
      <c r="H453" s="204">
        <v>1</v>
      </c>
      <c r="I453" s="4" t="s">
        <v>6782</v>
      </c>
      <c r="J453" s="204">
        <v>1</v>
      </c>
      <c r="K453" s="4" t="s">
        <v>6783</v>
      </c>
      <c r="L453" s="204" t="s">
        <v>2276</v>
      </c>
      <c r="M453" s="52" t="s">
        <v>2276</v>
      </c>
      <c r="N453" s="204"/>
    </row>
    <row r="454" spans="1:14" ht="68" customHeight="1">
      <c r="A454" s="204" t="s">
        <v>6177</v>
      </c>
      <c r="B454" s="204" t="s">
        <v>6764</v>
      </c>
      <c r="C454" s="204" t="s">
        <v>1105</v>
      </c>
      <c r="D454" s="204" t="s">
        <v>1105</v>
      </c>
      <c r="E454" s="4" t="s">
        <v>5801</v>
      </c>
      <c r="F454" s="204" t="s">
        <v>160</v>
      </c>
      <c r="G454" s="204"/>
      <c r="H454" s="204" t="s">
        <v>2276</v>
      </c>
      <c r="I454" s="204" t="s">
        <v>2276</v>
      </c>
      <c r="J454" s="204">
        <v>0</v>
      </c>
      <c r="K454" s="204" t="s">
        <v>5215</v>
      </c>
      <c r="L454" s="204" t="s">
        <v>2276</v>
      </c>
      <c r="M454" s="204" t="s">
        <v>2276</v>
      </c>
      <c r="N454" s="204"/>
    </row>
    <row r="455" spans="1:14" ht="68" customHeight="1">
      <c r="A455" s="204" t="s">
        <v>6177</v>
      </c>
      <c r="B455" s="204" t="s">
        <v>6765</v>
      </c>
      <c r="C455" s="204" t="s">
        <v>1105</v>
      </c>
      <c r="D455" s="204" t="s">
        <v>1105</v>
      </c>
      <c r="E455" s="4" t="s">
        <v>3209</v>
      </c>
      <c r="F455" s="4" t="s">
        <v>2276</v>
      </c>
      <c r="G455" s="204"/>
      <c r="H455" s="204">
        <v>1</v>
      </c>
      <c r="I455" s="4" t="s">
        <v>6784</v>
      </c>
      <c r="J455" s="204">
        <v>2</v>
      </c>
      <c r="K455" s="4" t="s">
        <v>6785</v>
      </c>
      <c r="L455" s="204">
        <v>3</v>
      </c>
      <c r="M455" s="4" t="s">
        <v>6786</v>
      </c>
      <c r="N455" s="204"/>
    </row>
    <row r="456" spans="1:14" ht="68" customHeight="1">
      <c r="A456" s="204" t="s">
        <v>6177</v>
      </c>
      <c r="B456" s="204" t="s">
        <v>6766</v>
      </c>
      <c r="C456" s="204" t="s">
        <v>24</v>
      </c>
      <c r="D456" s="204" t="s">
        <v>2659</v>
      </c>
      <c r="E456" s="4" t="s">
        <v>3855</v>
      </c>
      <c r="F456" s="4" t="s">
        <v>28</v>
      </c>
      <c r="G456" s="204"/>
      <c r="H456" s="204">
        <v>0</v>
      </c>
      <c r="I456" s="4" t="s">
        <v>6789</v>
      </c>
      <c r="J456" s="204" t="s">
        <v>2276</v>
      </c>
      <c r="K456" s="204" t="s">
        <v>2276</v>
      </c>
      <c r="L456" s="204" t="s">
        <v>2276</v>
      </c>
      <c r="M456" s="204" t="s">
        <v>2276</v>
      </c>
      <c r="N456" s="204"/>
    </row>
    <row r="457" spans="1:14" ht="68" customHeight="1">
      <c r="A457" s="204" t="s">
        <v>6178</v>
      </c>
      <c r="B457" s="204" t="s">
        <v>6238</v>
      </c>
      <c r="C457" s="204" t="s">
        <v>24</v>
      </c>
      <c r="D457" s="204" t="s">
        <v>25</v>
      </c>
      <c r="E457" s="4" t="s">
        <v>3855</v>
      </c>
      <c r="F457" s="204" t="s">
        <v>29</v>
      </c>
      <c r="G457" s="204"/>
      <c r="H457" s="204">
        <v>1</v>
      </c>
      <c r="I457" s="4" t="s">
        <v>6782</v>
      </c>
      <c r="J457" s="204">
        <v>1</v>
      </c>
      <c r="K457" s="4" t="s">
        <v>6783</v>
      </c>
      <c r="L457" s="204" t="s">
        <v>2276</v>
      </c>
      <c r="M457" s="52" t="s">
        <v>2276</v>
      </c>
      <c r="N457" s="204"/>
    </row>
    <row r="458" spans="1:14" ht="68" customHeight="1">
      <c r="A458" s="204" t="s">
        <v>6178</v>
      </c>
      <c r="B458" s="204" t="s">
        <v>6770</v>
      </c>
      <c r="C458" s="204" t="s">
        <v>1105</v>
      </c>
      <c r="D458" s="204" t="s">
        <v>1105</v>
      </c>
      <c r="E458" s="4" t="s">
        <v>5801</v>
      </c>
      <c r="F458" s="204" t="s">
        <v>160</v>
      </c>
      <c r="G458" s="204"/>
      <c r="H458" s="204" t="s">
        <v>2276</v>
      </c>
      <c r="I458" s="204" t="s">
        <v>2276</v>
      </c>
      <c r="J458" s="204">
        <v>0</v>
      </c>
      <c r="K458" s="204" t="s">
        <v>5215</v>
      </c>
      <c r="L458" s="204" t="s">
        <v>2276</v>
      </c>
      <c r="M458" s="204" t="s">
        <v>2276</v>
      </c>
      <c r="N458" s="204"/>
    </row>
    <row r="459" spans="1:14" ht="68" customHeight="1">
      <c r="A459" s="204" t="s">
        <v>6178</v>
      </c>
      <c r="B459" s="204" t="s">
        <v>6771</v>
      </c>
      <c r="C459" s="204" t="s">
        <v>1105</v>
      </c>
      <c r="D459" s="204" t="s">
        <v>1105</v>
      </c>
      <c r="E459" s="4" t="s">
        <v>3209</v>
      </c>
      <c r="F459" s="4" t="s">
        <v>2276</v>
      </c>
      <c r="G459" s="204"/>
      <c r="H459" s="204">
        <v>1</v>
      </c>
      <c r="I459" s="4" t="s">
        <v>6784</v>
      </c>
      <c r="J459" s="204">
        <v>2</v>
      </c>
      <c r="K459" s="4" t="s">
        <v>6785</v>
      </c>
      <c r="L459" s="204">
        <v>3</v>
      </c>
      <c r="M459" s="4" t="s">
        <v>6786</v>
      </c>
      <c r="N459" s="204"/>
    </row>
    <row r="460" spans="1:14" ht="66" customHeight="1">
      <c r="A460" s="204" t="s">
        <v>6178</v>
      </c>
      <c r="B460" s="204" t="s">
        <v>6772</v>
      </c>
      <c r="C460" s="204" t="s">
        <v>24</v>
      </c>
      <c r="D460" s="204" t="s">
        <v>2659</v>
      </c>
      <c r="E460" s="4" t="s">
        <v>3855</v>
      </c>
      <c r="F460" s="4" t="s">
        <v>28</v>
      </c>
      <c r="G460" s="204"/>
      <c r="H460" s="204">
        <v>0</v>
      </c>
      <c r="I460" s="4" t="s">
        <v>6789</v>
      </c>
      <c r="J460" s="204" t="s">
        <v>2276</v>
      </c>
      <c r="K460" s="204" t="s">
        <v>2276</v>
      </c>
      <c r="L460" s="204" t="s">
        <v>2276</v>
      </c>
      <c r="M460" s="204" t="s">
        <v>2276</v>
      </c>
      <c r="N460" s="204"/>
    </row>
    <row r="461" spans="1:14" ht="43.5">
      <c r="A461" s="204" t="s">
        <v>6179</v>
      </c>
      <c r="B461" s="204" t="s">
        <v>6239</v>
      </c>
      <c r="C461" s="204" t="s">
        <v>24</v>
      </c>
      <c r="D461" s="204" t="s">
        <v>25</v>
      </c>
      <c r="E461" s="4" t="s">
        <v>3855</v>
      </c>
      <c r="F461" s="204" t="s">
        <v>29</v>
      </c>
      <c r="G461" s="204"/>
      <c r="H461" s="204">
        <v>1</v>
      </c>
      <c r="I461" s="4" t="s">
        <v>6782</v>
      </c>
      <c r="J461" s="204">
        <v>1</v>
      </c>
      <c r="K461" s="4" t="s">
        <v>6783</v>
      </c>
      <c r="L461" s="204" t="s">
        <v>2276</v>
      </c>
      <c r="M461" s="52" t="s">
        <v>2276</v>
      </c>
      <c r="N461" s="204"/>
    </row>
    <row r="462" spans="1:14" ht="35.5" customHeight="1">
      <c r="A462" s="204" t="s">
        <v>6179</v>
      </c>
      <c r="B462" s="204" t="s">
        <v>6776</v>
      </c>
      <c r="C462" s="204" t="s">
        <v>1105</v>
      </c>
      <c r="D462" s="204" t="s">
        <v>1105</v>
      </c>
      <c r="E462" s="4" t="s">
        <v>5801</v>
      </c>
      <c r="F462" s="204" t="s">
        <v>160</v>
      </c>
      <c r="G462" s="204"/>
      <c r="H462" s="204" t="s">
        <v>2276</v>
      </c>
      <c r="I462" s="204" t="s">
        <v>2276</v>
      </c>
      <c r="J462" s="204">
        <v>0</v>
      </c>
      <c r="K462" s="204" t="s">
        <v>5215</v>
      </c>
      <c r="L462" s="204" t="s">
        <v>2276</v>
      </c>
      <c r="M462" s="204" t="s">
        <v>2276</v>
      </c>
      <c r="N462" s="204"/>
    </row>
    <row r="463" spans="1:14" ht="29">
      <c r="A463" s="204" t="s">
        <v>6179</v>
      </c>
      <c r="B463" s="204" t="s">
        <v>6777</v>
      </c>
      <c r="C463" s="204" t="s">
        <v>1105</v>
      </c>
      <c r="D463" s="204" t="s">
        <v>1105</v>
      </c>
      <c r="E463" s="4" t="s">
        <v>3209</v>
      </c>
      <c r="F463" s="4" t="s">
        <v>2276</v>
      </c>
      <c r="G463" s="204"/>
      <c r="H463" s="204">
        <v>1</v>
      </c>
      <c r="I463" s="4" t="s">
        <v>6784</v>
      </c>
      <c r="J463" s="204">
        <v>2</v>
      </c>
      <c r="K463" s="4" t="s">
        <v>6785</v>
      </c>
      <c r="L463" s="204">
        <v>3</v>
      </c>
      <c r="M463" s="4" t="s">
        <v>6786</v>
      </c>
      <c r="N463" s="204"/>
    </row>
    <row r="464" spans="1:14" ht="51" customHeight="1">
      <c r="A464" s="204" t="s">
        <v>6179</v>
      </c>
      <c r="B464" s="204" t="s">
        <v>6778</v>
      </c>
      <c r="C464" s="204" t="s">
        <v>24</v>
      </c>
      <c r="D464" s="204" t="s">
        <v>2659</v>
      </c>
      <c r="E464" s="4" t="s">
        <v>3855</v>
      </c>
      <c r="F464" s="4" t="s">
        <v>28</v>
      </c>
      <c r="G464" s="204"/>
      <c r="H464" s="204">
        <v>0</v>
      </c>
      <c r="I464" s="4" t="s">
        <v>6789</v>
      </c>
      <c r="J464" s="204" t="s">
        <v>2276</v>
      </c>
      <c r="K464" s="204" t="s">
        <v>2276</v>
      </c>
      <c r="L464" s="204" t="s">
        <v>2276</v>
      </c>
      <c r="M464" s="204" t="s">
        <v>2276</v>
      </c>
      <c r="N464" s="204"/>
    </row>
    <row r="465" spans="1:14" s="203" customFormat="1" ht="51" customHeight="1">
      <c r="A465" s="204" t="s">
        <v>6180</v>
      </c>
      <c r="B465" s="204" t="s">
        <v>6240</v>
      </c>
      <c r="C465" s="204" t="s">
        <v>1105</v>
      </c>
      <c r="D465" s="204" t="s">
        <v>1105</v>
      </c>
      <c r="E465" s="4" t="s">
        <v>5801</v>
      </c>
      <c r="F465" s="204" t="s">
        <v>160</v>
      </c>
      <c r="G465" s="204"/>
      <c r="H465" s="204" t="s">
        <v>2276</v>
      </c>
      <c r="I465" s="204" t="s">
        <v>2276</v>
      </c>
      <c r="J465" s="204">
        <v>0</v>
      </c>
      <c r="K465" s="204" t="s">
        <v>5215</v>
      </c>
      <c r="L465" s="204" t="s">
        <v>2276</v>
      </c>
      <c r="M465" s="204" t="s">
        <v>2276</v>
      </c>
      <c r="N465" s="204"/>
    </row>
    <row r="466" spans="1:14" s="203" customFormat="1" ht="51" customHeight="1">
      <c r="A466" s="19" t="s">
        <v>6181</v>
      </c>
      <c r="B466" s="19" t="s">
        <v>6241</v>
      </c>
      <c r="C466" s="204" t="s">
        <v>1105</v>
      </c>
      <c r="D466" s="204" t="s">
        <v>1105</v>
      </c>
      <c r="E466" s="4" t="s">
        <v>5801</v>
      </c>
      <c r="F466" s="204" t="s">
        <v>160</v>
      </c>
      <c r="G466" s="204"/>
      <c r="H466" s="204" t="s">
        <v>2276</v>
      </c>
      <c r="I466" s="204" t="s">
        <v>2276</v>
      </c>
      <c r="J466" s="204">
        <v>0</v>
      </c>
      <c r="K466" s="204" t="s">
        <v>5215</v>
      </c>
      <c r="L466" s="204" t="s">
        <v>2276</v>
      </c>
      <c r="M466" s="204" t="s">
        <v>2276</v>
      </c>
      <c r="N466" s="204"/>
    </row>
    <row r="467" spans="1:14" s="203" customFormat="1" ht="51" customHeight="1">
      <c r="A467" s="19" t="s">
        <v>6812</v>
      </c>
      <c r="B467" s="19" t="s">
        <v>6870</v>
      </c>
      <c r="C467" s="204" t="s">
        <v>1105</v>
      </c>
      <c r="D467" s="204" t="s">
        <v>1105</v>
      </c>
      <c r="E467" s="4" t="s">
        <v>5801</v>
      </c>
      <c r="F467" s="204" t="s">
        <v>160</v>
      </c>
      <c r="G467" s="204"/>
      <c r="H467" s="204" t="s">
        <v>2276</v>
      </c>
      <c r="I467" s="204" t="s">
        <v>2276</v>
      </c>
      <c r="J467" s="204">
        <v>0</v>
      </c>
      <c r="K467" s="204" t="s">
        <v>5215</v>
      </c>
      <c r="L467" s="204" t="s">
        <v>2276</v>
      </c>
      <c r="M467" s="204" t="s">
        <v>2276</v>
      </c>
      <c r="N467" s="204"/>
    </row>
    <row r="468" spans="1:14" s="203" customFormat="1" ht="51" customHeight="1">
      <c r="A468" s="19" t="s">
        <v>6813</v>
      </c>
      <c r="B468" s="19" t="s">
        <v>6871</v>
      </c>
      <c r="C468" s="204" t="s">
        <v>1105</v>
      </c>
      <c r="D468" s="204" t="s">
        <v>1105</v>
      </c>
      <c r="E468" s="4" t="s">
        <v>5801</v>
      </c>
      <c r="F468" s="204" t="s">
        <v>160</v>
      </c>
      <c r="G468" s="204"/>
      <c r="H468" s="204" t="s">
        <v>2276</v>
      </c>
      <c r="I468" s="204" t="s">
        <v>2276</v>
      </c>
      <c r="J468" s="204">
        <v>0</v>
      </c>
      <c r="K468" s="204" t="s">
        <v>5215</v>
      </c>
      <c r="L468" s="204" t="s">
        <v>2276</v>
      </c>
      <c r="M468" s="204" t="s">
        <v>2276</v>
      </c>
      <c r="N468" s="204"/>
    </row>
    <row r="469" spans="1:14" s="203" customFormat="1" ht="51" customHeight="1">
      <c r="A469" s="19" t="s">
        <v>6814</v>
      </c>
      <c r="B469" s="19" t="s">
        <v>6872</v>
      </c>
      <c r="C469" s="204" t="s">
        <v>1105</v>
      </c>
      <c r="D469" s="204" t="s">
        <v>1105</v>
      </c>
      <c r="E469" s="4" t="s">
        <v>5801</v>
      </c>
      <c r="F469" s="204" t="s">
        <v>160</v>
      </c>
      <c r="G469" s="204"/>
      <c r="H469" s="204" t="s">
        <v>2276</v>
      </c>
      <c r="I469" s="204" t="s">
        <v>2276</v>
      </c>
      <c r="J469" s="204">
        <v>0</v>
      </c>
      <c r="K469" s="204" t="s">
        <v>5215</v>
      </c>
      <c r="L469" s="204" t="s">
        <v>2276</v>
      </c>
      <c r="M469" s="204" t="s">
        <v>2276</v>
      </c>
      <c r="N469" s="204"/>
    </row>
    <row r="470" spans="1:14" s="203" customFormat="1" ht="51" customHeight="1">
      <c r="A470" s="19" t="s">
        <v>6815</v>
      </c>
      <c r="B470" s="19" t="s">
        <v>6873</v>
      </c>
      <c r="C470" s="204" t="s">
        <v>1105</v>
      </c>
      <c r="D470" s="204" t="s">
        <v>1105</v>
      </c>
      <c r="E470" s="4" t="s">
        <v>5801</v>
      </c>
      <c r="F470" s="204" t="s">
        <v>160</v>
      </c>
      <c r="G470" s="204"/>
      <c r="H470" s="204" t="s">
        <v>2276</v>
      </c>
      <c r="I470" s="204" t="s">
        <v>2276</v>
      </c>
      <c r="J470" s="204">
        <v>0</v>
      </c>
      <c r="K470" s="204" t="s">
        <v>5215</v>
      </c>
      <c r="L470" s="204" t="s">
        <v>2276</v>
      </c>
      <c r="M470" s="204" t="s">
        <v>2276</v>
      </c>
      <c r="N470" s="204"/>
    </row>
    <row r="471" spans="1:14" s="203" customFormat="1" ht="51" customHeight="1">
      <c r="A471" s="19" t="s">
        <v>6816</v>
      </c>
      <c r="B471" s="19" t="s">
        <v>6874</v>
      </c>
      <c r="C471" s="204" t="s">
        <v>1105</v>
      </c>
      <c r="D471" s="204" t="s">
        <v>1105</v>
      </c>
      <c r="E471" s="4" t="s">
        <v>5801</v>
      </c>
      <c r="F471" s="204" t="s">
        <v>160</v>
      </c>
      <c r="G471" s="204"/>
      <c r="H471" s="204" t="s">
        <v>2276</v>
      </c>
      <c r="I471" s="204" t="s">
        <v>2276</v>
      </c>
      <c r="J471" s="204">
        <v>0</v>
      </c>
      <c r="K471" s="204" t="s">
        <v>5215</v>
      </c>
      <c r="L471" s="204" t="s">
        <v>2276</v>
      </c>
      <c r="M471" s="204" t="s">
        <v>2276</v>
      </c>
      <c r="N471" s="204"/>
    </row>
    <row r="472" spans="1:14" s="203" customFormat="1" ht="51" customHeight="1">
      <c r="A472" s="19" t="s">
        <v>6817</v>
      </c>
      <c r="B472" s="19" t="s">
        <v>6875</v>
      </c>
      <c r="C472" s="204" t="s">
        <v>1105</v>
      </c>
      <c r="D472" s="204" t="s">
        <v>1105</v>
      </c>
      <c r="E472" s="4" t="s">
        <v>5801</v>
      </c>
      <c r="F472" s="204" t="s">
        <v>160</v>
      </c>
      <c r="G472" s="204"/>
      <c r="H472" s="204" t="s">
        <v>2276</v>
      </c>
      <c r="I472" s="204" t="s">
        <v>2276</v>
      </c>
      <c r="J472" s="204">
        <v>0</v>
      </c>
      <c r="K472" s="204" t="s">
        <v>5215</v>
      </c>
      <c r="L472" s="204" t="s">
        <v>2276</v>
      </c>
      <c r="M472" s="204" t="s">
        <v>2276</v>
      </c>
      <c r="N472" s="204"/>
    </row>
    <row r="473" spans="1:14" s="203" customFormat="1" ht="51" customHeight="1">
      <c r="A473" s="19" t="s">
        <v>6818</v>
      </c>
      <c r="B473" s="19" t="s">
        <v>6876</v>
      </c>
      <c r="C473" s="204" t="s">
        <v>1105</v>
      </c>
      <c r="D473" s="204" t="s">
        <v>1105</v>
      </c>
      <c r="E473" s="4" t="s">
        <v>5801</v>
      </c>
      <c r="F473" s="204" t="s">
        <v>160</v>
      </c>
      <c r="G473" s="204"/>
      <c r="H473" s="204" t="s">
        <v>2276</v>
      </c>
      <c r="I473" s="204" t="s">
        <v>2276</v>
      </c>
      <c r="J473" s="204">
        <v>0</v>
      </c>
      <c r="K473" s="204" t="s">
        <v>5215</v>
      </c>
      <c r="L473" s="204" t="s">
        <v>2276</v>
      </c>
      <c r="M473" s="204" t="s">
        <v>2276</v>
      </c>
      <c r="N473" s="204"/>
    </row>
    <row r="474" spans="1:14" s="203" customFormat="1" ht="51" customHeight="1">
      <c r="A474" s="19" t="s">
        <v>6819</v>
      </c>
      <c r="B474" s="19" t="s">
        <v>6877</v>
      </c>
      <c r="C474" s="204" t="s">
        <v>1105</v>
      </c>
      <c r="D474" s="204" t="s">
        <v>1105</v>
      </c>
      <c r="E474" s="4" t="s">
        <v>5801</v>
      </c>
      <c r="F474" s="204" t="s">
        <v>160</v>
      </c>
      <c r="G474" s="204"/>
      <c r="H474" s="204" t="s">
        <v>2276</v>
      </c>
      <c r="I474" s="204" t="s">
        <v>2276</v>
      </c>
      <c r="J474" s="204">
        <v>0</v>
      </c>
      <c r="K474" s="204" t="s">
        <v>5215</v>
      </c>
      <c r="L474" s="204" t="s">
        <v>2276</v>
      </c>
      <c r="M474" s="204" t="s">
        <v>2276</v>
      </c>
      <c r="N474" s="204"/>
    </row>
    <row r="475" spans="1:14" s="203" customFormat="1" ht="51" customHeight="1">
      <c r="A475" s="19" t="s">
        <v>6820</v>
      </c>
      <c r="B475" s="19" t="s">
        <v>6878</v>
      </c>
      <c r="C475" s="204" t="s">
        <v>1105</v>
      </c>
      <c r="D475" s="204" t="s">
        <v>1105</v>
      </c>
      <c r="E475" s="4" t="s">
        <v>5801</v>
      </c>
      <c r="F475" s="204" t="s">
        <v>160</v>
      </c>
      <c r="G475" s="204"/>
      <c r="H475" s="204" t="s">
        <v>2276</v>
      </c>
      <c r="I475" s="204" t="s">
        <v>2276</v>
      </c>
      <c r="J475" s="204">
        <v>0</v>
      </c>
      <c r="K475" s="204" t="s">
        <v>5215</v>
      </c>
      <c r="L475" s="204" t="s">
        <v>2276</v>
      </c>
      <c r="M475" s="204" t="s">
        <v>2276</v>
      </c>
      <c r="N475" s="204"/>
    </row>
    <row r="476" spans="1:14" s="203" customFormat="1" ht="51" customHeight="1">
      <c r="A476" s="19" t="s">
        <v>6821</v>
      </c>
      <c r="B476" s="19" t="s">
        <v>6879</v>
      </c>
      <c r="C476" s="204" t="s">
        <v>1105</v>
      </c>
      <c r="D476" s="204" t="s">
        <v>1105</v>
      </c>
      <c r="E476" s="4" t="s">
        <v>5801</v>
      </c>
      <c r="F476" s="204" t="s">
        <v>160</v>
      </c>
      <c r="G476" s="204"/>
      <c r="H476" s="204" t="s">
        <v>2276</v>
      </c>
      <c r="I476" s="204" t="s">
        <v>2276</v>
      </c>
      <c r="J476" s="204">
        <v>0</v>
      </c>
      <c r="K476" s="204" t="s">
        <v>5215</v>
      </c>
      <c r="L476" s="204" t="s">
        <v>2276</v>
      </c>
      <c r="M476" s="204" t="s">
        <v>2276</v>
      </c>
      <c r="N476" s="204"/>
    </row>
    <row r="477" spans="1:14" s="203" customFormat="1" ht="51" customHeight="1">
      <c r="A477" s="19" t="s">
        <v>6822</v>
      </c>
      <c r="B477" s="19" t="s">
        <v>6880</v>
      </c>
      <c r="C477" s="204" t="s">
        <v>1105</v>
      </c>
      <c r="D477" s="204" t="s">
        <v>1105</v>
      </c>
      <c r="E477" s="4" t="s">
        <v>5801</v>
      </c>
      <c r="F477" s="204" t="s">
        <v>160</v>
      </c>
      <c r="G477" s="204"/>
      <c r="H477" s="204" t="s">
        <v>2276</v>
      </c>
      <c r="I477" s="204" t="s">
        <v>2276</v>
      </c>
      <c r="J477" s="204">
        <v>0</v>
      </c>
      <c r="K477" s="204" t="s">
        <v>5215</v>
      </c>
      <c r="L477" s="204" t="s">
        <v>2276</v>
      </c>
      <c r="M477" s="204" t="s">
        <v>2276</v>
      </c>
      <c r="N477" s="204"/>
    </row>
    <row r="478" spans="1:14" s="203" customFormat="1" ht="51" customHeight="1">
      <c r="A478" s="19" t="s">
        <v>6823</v>
      </c>
      <c r="B478" s="19" t="s">
        <v>6881</v>
      </c>
      <c r="C478" s="204" t="s">
        <v>1105</v>
      </c>
      <c r="D478" s="204" t="s">
        <v>1105</v>
      </c>
      <c r="E478" s="4" t="s">
        <v>5801</v>
      </c>
      <c r="F478" s="204" t="s">
        <v>160</v>
      </c>
      <c r="G478" s="204"/>
      <c r="H478" s="204" t="s">
        <v>2276</v>
      </c>
      <c r="I478" s="204" t="s">
        <v>2276</v>
      </c>
      <c r="J478" s="204">
        <v>0</v>
      </c>
      <c r="K478" s="204" t="s">
        <v>5215</v>
      </c>
      <c r="L478" s="204" t="s">
        <v>2276</v>
      </c>
      <c r="M478" s="204" t="s">
        <v>2276</v>
      </c>
      <c r="N478" s="204"/>
    </row>
    <row r="479" spans="1:14" s="203" customFormat="1" ht="51" customHeight="1">
      <c r="A479" s="19" t="s">
        <v>6824</v>
      </c>
      <c r="B479" s="19" t="s">
        <v>6882</v>
      </c>
      <c r="C479" s="204" t="s">
        <v>1105</v>
      </c>
      <c r="D479" s="204" t="s">
        <v>1105</v>
      </c>
      <c r="E479" s="4" t="s">
        <v>5801</v>
      </c>
      <c r="F479" s="204" t="s">
        <v>160</v>
      </c>
      <c r="G479" s="204"/>
      <c r="H479" s="204" t="s">
        <v>2276</v>
      </c>
      <c r="I479" s="204" t="s">
        <v>2276</v>
      </c>
      <c r="J479" s="204">
        <v>0</v>
      </c>
      <c r="K479" s="204" t="s">
        <v>5215</v>
      </c>
      <c r="L479" s="204" t="s">
        <v>2276</v>
      </c>
      <c r="M479" s="204" t="s">
        <v>2276</v>
      </c>
      <c r="N479" s="204"/>
    </row>
    <row r="480" spans="1:14" s="203" customFormat="1" ht="51" customHeight="1">
      <c r="A480" s="19" t="s">
        <v>6825</v>
      </c>
      <c r="B480" s="19" t="s">
        <v>6883</v>
      </c>
      <c r="C480" s="204" t="s">
        <v>1105</v>
      </c>
      <c r="D480" s="204" t="s">
        <v>1105</v>
      </c>
      <c r="E480" s="4" t="s">
        <v>5801</v>
      </c>
      <c r="F480" s="204" t="s">
        <v>160</v>
      </c>
      <c r="G480" s="204"/>
      <c r="H480" s="204" t="s">
        <v>2276</v>
      </c>
      <c r="I480" s="204" t="s">
        <v>2276</v>
      </c>
      <c r="J480" s="204">
        <v>0</v>
      </c>
      <c r="K480" s="204" t="s">
        <v>5215</v>
      </c>
      <c r="L480" s="204" t="s">
        <v>2276</v>
      </c>
      <c r="M480" s="204" t="s">
        <v>2276</v>
      </c>
      <c r="N480" s="204"/>
    </row>
    <row r="481" spans="1:14" s="203" customFormat="1" ht="51" customHeight="1">
      <c r="A481" s="19" t="s">
        <v>6826</v>
      </c>
      <c r="B481" s="19" t="s">
        <v>6884</v>
      </c>
      <c r="C481" s="204" t="s">
        <v>1105</v>
      </c>
      <c r="D481" s="204" t="s">
        <v>1105</v>
      </c>
      <c r="E481" s="4" t="s">
        <v>5801</v>
      </c>
      <c r="F481" s="204" t="s">
        <v>160</v>
      </c>
      <c r="G481" s="204"/>
      <c r="H481" s="204" t="s">
        <v>2276</v>
      </c>
      <c r="I481" s="204" t="s">
        <v>2276</v>
      </c>
      <c r="J481" s="204">
        <v>0</v>
      </c>
      <c r="K481" s="204" t="s">
        <v>5215</v>
      </c>
      <c r="L481" s="204" t="s">
        <v>2276</v>
      </c>
      <c r="M481" s="204" t="s">
        <v>2276</v>
      </c>
      <c r="N481" s="204"/>
    </row>
    <row r="482" spans="1:14" s="203" customFormat="1" ht="51" customHeight="1">
      <c r="A482" s="19" t="s">
        <v>6827</v>
      </c>
      <c r="B482" s="19" t="s">
        <v>6885</v>
      </c>
      <c r="C482" s="204" t="s">
        <v>1105</v>
      </c>
      <c r="D482" s="204" t="s">
        <v>1105</v>
      </c>
      <c r="E482" s="4" t="s">
        <v>5801</v>
      </c>
      <c r="F482" s="204" t="s">
        <v>160</v>
      </c>
      <c r="G482" s="204"/>
      <c r="H482" s="204" t="s">
        <v>2276</v>
      </c>
      <c r="I482" s="204" t="s">
        <v>2276</v>
      </c>
      <c r="J482" s="204">
        <v>0</v>
      </c>
      <c r="K482" s="204" t="s">
        <v>5215</v>
      </c>
      <c r="L482" s="204" t="s">
        <v>2276</v>
      </c>
      <c r="M482" s="204" t="s">
        <v>2276</v>
      </c>
      <c r="N482" s="204"/>
    </row>
    <row r="483" spans="1:14" s="203" customFormat="1" ht="51" customHeight="1">
      <c r="A483" s="19" t="s">
        <v>6828</v>
      </c>
      <c r="B483" s="19" t="s">
        <v>6886</v>
      </c>
      <c r="C483" s="204" t="s">
        <v>1105</v>
      </c>
      <c r="D483" s="204" t="s">
        <v>1105</v>
      </c>
      <c r="E483" s="4" t="s">
        <v>5801</v>
      </c>
      <c r="F483" s="204" t="s">
        <v>160</v>
      </c>
      <c r="G483" s="204"/>
      <c r="H483" s="204" t="s">
        <v>2276</v>
      </c>
      <c r="I483" s="204" t="s">
        <v>2276</v>
      </c>
      <c r="J483" s="204">
        <v>0</v>
      </c>
      <c r="K483" s="204" t="s">
        <v>5215</v>
      </c>
      <c r="L483" s="204" t="s">
        <v>2276</v>
      </c>
      <c r="M483" s="204" t="s">
        <v>2276</v>
      </c>
      <c r="N483" s="204"/>
    </row>
    <row r="484" spans="1:14" s="203" customFormat="1" ht="51" customHeight="1">
      <c r="A484" s="19" t="s">
        <v>6829</v>
      </c>
      <c r="B484" s="19" t="s">
        <v>6887</v>
      </c>
      <c r="C484" s="204" t="s">
        <v>1105</v>
      </c>
      <c r="D484" s="204" t="s">
        <v>1105</v>
      </c>
      <c r="E484" s="4" t="s">
        <v>5801</v>
      </c>
      <c r="F484" s="204" t="s">
        <v>160</v>
      </c>
      <c r="G484" s="204"/>
      <c r="H484" s="204" t="s">
        <v>2276</v>
      </c>
      <c r="I484" s="204" t="s">
        <v>2276</v>
      </c>
      <c r="J484" s="204">
        <v>0</v>
      </c>
      <c r="K484" s="204" t="s">
        <v>5215</v>
      </c>
      <c r="L484" s="204" t="s">
        <v>2276</v>
      </c>
      <c r="M484" s="204" t="s">
        <v>2276</v>
      </c>
      <c r="N484" s="204"/>
    </row>
    <row r="485" spans="1:14" s="203" customFormat="1" ht="51" customHeight="1">
      <c r="A485" s="19" t="s">
        <v>6830</v>
      </c>
      <c r="B485" s="19" t="s">
        <v>6888</v>
      </c>
      <c r="C485" s="204" t="s">
        <v>1105</v>
      </c>
      <c r="D485" s="204" t="s">
        <v>1105</v>
      </c>
      <c r="E485" s="4" t="s">
        <v>5801</v>
      </c>
      <c r="F485" s="204" t="s">
        <v>160</v>
      </c>
      <c r="G485" s="204"/>
      <c r="H485" s="204" t="s">
        <v>2276</v>
      </c>
      <c r="I485" s="204" t="s">
        <v>2276</v>
      </c>
      <c r="J485" s="204">
        <v>0</v>
      </c>
      <c r="K485" s="204" t="s">
        <v>5215</v>
      </c>
      <c r="L485" s="204" t="s">
        <v>2276</v>
      </c>
      <c r="M485" s="204" t="s">
        <v>2276</v>
      </c>
      <c r="N485" s="204"/>
    </row>
    <row r="486" spans="1:14" s="203" customFormat="1" ht="51" customHeight="1">
      <c r="A486" s="19" t="s">
        <v>6831</v>
      </c>
      <c r="B486" s="19" t="s">
        <v>6889</v>
      </c>
      <c r="C486" s="204" t="s">
        <v>1105</v>
      </c>
      <c r="D486" s="204" t="s">
        <v>1105</v>
      </c>
      <c r="E486" s="4" t="s">
        <v>5801</v>
      </c>
      <c r="F486" s="204" t="s">
        <v>160</v>
      </c>
      <c r="G486" s="204"/>
      <c r="H486" s="204" t="s">
        <v>2276</v>
      </c>
      <c r="I486" s="204" t="s">
        <v>2276</v>
      </c>
      <c r="J486" s="204">
        <v>0</v>
      </c>
      <c r="K486" s="204" t="s">
        <v>5215</v>
      </c>
      <c r="L486" s="204" t="s">
        <v>2276</v>
      </c>
      <c r="M486" s="204" t="s">
        <v>2276</v>
      </c>
      <c r="N486" s="204"/>
    </row>
    <row r="487" spans="1:14" s="203" customFormat="1" ht="51" customHeight="1">
      <c r="A487" s="19" t="s">
        <v>6832</v>
      </c>
      <c r="B487" s="19" t="s">
        <v>6890</v>
      </c>
      <c r="C487" s="204" t="s">
        <v>1105</v>
      </c>
      <c r="D487" s="204" t="s">
        <v>1105</v>
      </c>
      <c r="E487" s="4" t="s">
        <v>5801</v>
      </c>
      <c r="F487" s="204" t="s">
        <v>160</v>
      </c>
      <c r="G487" s="204"/>
      <c r="H487" s="204" t="s">
        <v>2276</v>
      </c>
      <c r="I487" s="204" t="s">
        <v>2276</v>
      </c>
      <c r="J487" s="204">
        <v>0</v>
      </c>
      <c r="K487" s="204" t="s">
        <v>5215</v>
      </c>
      <c r="L487" s="204" t="s">
        <v>2276</v>
      </c>
      <c r="M487" s="204" t="s">
        <v>2276</v>
      </c>
      <c r="N487" s="204"/>
    </row>
    <row r="488" spans="1:14" s="203" customFormat="1" ht="51" customHeight="1">
      <c r="A488" s="19" t="s">
        <v>6833</v>
      </c>
      <c r="B488" s="19" t="s">
        <v>6891</v>
      </c>
      <c r="C488" s="204" t="s">
        <v>1105</v>
      </c>
      <c r="D488" s="204" t="s">
        <v>1105</v>
      </c>
      <c r="E488" s="4" t="s">
        <v>5801</v>
      </c>
      <c r="F488" s="204" t="s">
        <v>160</v>
      </c>
      <c r="G488" s="204"/>
      <c r="H488" s="204" t="s">
        <v>2276</v>
      </c>
      <c r="I488" s="204" t="s">
        <v>2276</v>
      </c>
      <c r="J488" s="204">
        <v>0</v>
      </c>
      <c r="K488" s="204" t="s">
        <v>5215</v>
      </c>
      <c r="L488" s="204" t="s">
        <v>2276</v>
      </c>
      <c r="M488" s="204" t="s">
        <v>2276</v>
      </c>
      <c r="N488" s="204"/>
    </row>
    <row r="489" spans="1:14" s="203" customFormat="1" ht="51" customHeight="1">
      <c r="A489" s="19" t="s">
        <v>6834</v>
      </c>
      <c r="B489" s="19" t="s">
        <v>6892</v>
      </c>
      <c r="C489" s="204" t="s">
        <v>1105</v>
      </c>
      <c r="D489" s="204" t="s">
        <v>1105</v>
      </c>
      <c r="E489" s="4" t="s">
        <v>5801</v>
      </c>
      <c r="F489" s="204" t="s">
        <v>160</v>
      </c>
      <c r="G489" s="204"/>
      <c r="H489" s="204" t="s">
        <v>2276</v>
      </c>
      <c r="I489" s="204" t="s">
        <v>2276</v>
      </c>
      <c r="J489" s="204">
        <v>0</v>
      </c>
      <c r="K489" s="204" t="s">
        <v>5215</v>
      </c>
      <c r="L489" s="204" t="s">
        <v>2276</v>
      </c>
      <c r="M489" s="204" t="s">
        <v>2276</v>
      </c>
      <c r="N489" s="204"/>
    </row>
    <row r="490" spans="1:14" s="203" customFormat="1" ht="51" customHeight="1">
      <c r="A490" s="19" t="s">
        <v>6181</v>
      </c>
      <c r="B490" s="19" t="s">
        <v>6242</v>
      </c>
      <c r="C490" s="204" t="s">
        <v>1105</v>
      </c>
      <c r="D490" s="204" t="s">
        <v>1105</v>
      </c>
      <c r="E490" s="19" t="s">
        <v>3855</v>
      </c>
      <c r="F490" s="204" t="s">
        <v>29</v>
      </c>
      <c r="G490" s="204"/>
      <c r="H490" s="204" t="s">
        <v>2276</v>
      </c>
      <c r="I490" s="204" t="s">
        <v>2276</v>
      </c>
      <c r="J490" s="204">
        <v>2</v>
      </c>
      <c r="K490" s="4" t="s">
        <v>6899</v>
      </c>
      <c r="L490" s="204" t="s">
        <v>2276</v>
      </c>
      <c r="M490" s="204" t="s">
        <v>2276</v>
      </c>
      <c r="N490" s="204"/>
    </row>
    <row r="491" spans="1:14" s="203" customFormat="1" ht="51" customHeight="1">
      <c r="A491" s="19" t="s">
        <v>6812</v>
      </c>
      <c r="B491" s="19" t="s">
        <v>6893</v>
      </c>
      <c r="C491" s="204" t="s">
        <v>1105</v>
      </c>
      <c r="D491" s="204" t="s">
        <v>1105</v>
      </c>
      <c r="E491" s="19" t="s">
        <v>3855</v>
      </c>
      <c r="F491" s="204" t="s">
        <v>29</v>
      </c>
      <c r="G491" s="204"/>
      <c r="H491" s="204" t="s">
        <v>2276</v>
      </c>
      <c r="I491" s="204" t="s">
        <v>2276</v>
      </c>
      <c r="J491" s="204">
        <v>2</v>
      </c>
      <c r="K491" s="4" t="s">
        <v>6899</v>
      </c>
      <c r="L491" s="204" t="s">
        <v>2276</v>
      </c>
      <c r="M491" s="204" t="s">
        <v>2276</v>
      </c>
      <c r="N491" s="204"/>
    </row>
    <row r="492" spans="1:14" s="203" customFormat="1" ht="51" customHeight="1">
      <c r="A492" s="19" t="s">
        <v>6813</v>
      </c>
      <c r="B492" s="19" t="s">
        <v>6894</v>
      </c>
      <c r="C492" s="204" t="s">
        <v>1105</v>
      </c>
      <c r="D492" s="204" t="s">
        <v>1105</v>
      </c>
      <c r="E492" s="19" t="s">
        <v>3855</v>
      </c>
      <c r="F492" s="204" t="s">
        <v>29</v>
      </c>
      <c r="G492" s="204"/>
      <c r="H492" s="204" t="s">
        <v>2276</v>
      </c>
      <c r="I492" s="204" t="s">
        <v>2276</v>
      </c>
      <c r="J492" s="204">
        <v>2</v>
      </c>
      <c r="K492" s="4" t="s">
        <v>6899</v>
      </c>
      <c r="L492" s="204" t="s">
        <v>2276</v>
      </c>
      <c r="M492" s="204" t="s">
        <v>2276</v>
      </c>
      <c r="N492" s="204"/>
    </row>
    <row r="493" spans="1:14" s="203" customFormat="1" ht="51" customHeight="1">
      <c r="A493" s="19" t="s">
        <v>6814</v>
      </c>
      <c r="B493" s="19" t="s">
        <v>6895</v>
      </c>
      <c r="C493" s="204" t="s">
        <v>1105</v>
      </c>
      <c r="D493" s="204" t="s">
        <v>1105</v>
      </c>
      <c r="E493" s="19" t="s">
        <v>3855</v>
      </c>
      <c r="F493" s="204" t="s">
        <v>29</v>
      </c>
      <c r="G493" s="204"/>
      <c r="H493" s="204" t="s">
        <v>2276</v>
      </c>
      <c r="I493" s="204" t="s">
        <v>2276</v>
      </c>
      <c r="J493" s="204">
        <v>2</v>
      </c>
      <c r="K493" s="4" t="s">
        <v>6899</v>
      </c>
      <c r="L493" s="204" t="s">
        <v>2276</v>
      </c>
      <c r="M493" s="204" t="s">
        <v>2276</v>
      </c>
      <c r="N493" s="204"/>
    </row>
    <row r="494" spans="1:14" s="203" customFormat="1" ht="51" customHeight="1">
      <c r="A494" s="19" t="s">
        <v>6815</v>
      </c>
      <c r="B494" s="19" t="s">
        <v>6896</v>
      </c>
      <c r="C494" s="204" t="s">
        <v>1105</v>
      </c>
      <c r="D494" s="204" t="s">
        <v>1105</v>
      </c>
      <c r="E494" s="19" t="s">
        <v>3855</v>
      </c>
      <c r="F494" s="204" t="s">
        <v>29</v>
      </c>
      <c r="G494" s="204"/>
      <c r="H494" s="204" t="s">
        <v>2276</v>
      </c>
      <c r="I494" s="204" t="s">
        <v>2276</v>
      </c>
      <c r="J494" s="204">
        <v>2</v>
      </c>
      <c r="K494" s="4" t="s">
        <v>6899</v>
      </c>
      <c r="L494" s="204" t="s">
        <v>2276</v>
      </c>
      <c r="M494" s="204" t="s">
        <v>2276</v>
      </c>
      <c r="N494" s="204"/>
    </row>
    <row r="495" spans="1:14" s="203" customFormat="1" ht="51" customHeight="1">
      <c r="A495" s="19" t="s">
        <v>6816</v>
      </c>
      <c r="B495" s="19" t="s">
        <v>6897</v>
      </c>
      <c r="C495" s="204" t="s">
        <v>1105</v>
      </c>
      <c r="D495" s="204" t="s">
        <v>1105</v>
      </c>
      <c r="E495" s="19" t="s">
        <v>3855</v>
      </c>
      <c r="F495" s="204" t="s">
        <v>29</v>
      </c>
      <c r="G495" s="204"/>
      <c r="H495" s="204" t="s">
        <v>2276</v>
      </c>
      <c r="I495" s="204" t="s">
        <v>2276</v>
      </c>
      <c r="J495" s="204">
        <v>2</v>
      </c>
      <c r="K495" s="4" t="s">
        <v>6899</v>
      </c>
      <c r="L495" s="204" t="s">
        <v>2276</v>
      </c>
      <c r="M495" s="204" t="s">
        <v>2276</v>
      </c>
      <c r="N495" s="204"/>
    </row>
    <row r="496" spans="1:14" s="203" customFormat="1" ht="51" customHeight="1">
      <c r="A496" s="19" t="s">
        <v>6817</v>
      </c>
      <c r="B496" s="19" t="s">
        <v>6898</v>
      </c>
      <c r="C496" s="204" t="s">
        <v>1105</v>
      </c>
      <c r="D496" s="204" t="s">
        <v>1105</v>
      </c>
      <c r="E496" s="19" t="s">
        <v>3855</v>
      </c>
      <c r="F496" s="204" t="s">
        <v>29</v>
      </c>
      <c r="G496" s="204"/>
      <c r="H496" s="204" t="s">
        <v>2276</v>
      </c>
      <c r="I496" s="204" t="s">
        <v>2276</v>
      </c>
      <c r="J496" s="204">
        <v>2</v>
      </c>
      <c r="K496" s="4" t="s">
        <v>6899</v>
      </c>
      <c r="L496" s="204" t="s">
        <v>2276</v>
      </c>
      <c r="M496" s="204" t="s">
        <v>2276</v>
      </c>
      <c r="N496" s="204"/>
    </row>
    <row r="497" spans="1:14" ht="47" customHeight="1">
      <c r="A497" s="3" t="s">
        <v>6182</v>
      </c>
      <c r="B497" s="3" t="s">
        <v>6243</v>
      </c>
      <c r="C497" s="204" t="s">
        <v>1105</v>
      </c>
      <c r="D497" s="204" t="s">
        <v>1105</v>
      </c>
      <c r="E497" s="4" t="s">
        <v>5801</v>
      </c>
      <c r="F497" s="204" t="s">
        <v>160</v>
      </c>
      <c r="G497" s="3"/>
      <c r="H497" s="3" t="s">
        <v>2276</v>
      </c>
      <c r="I497" s="3" t="s">
        <v>2276</v>
      </c>
      <c r="J497" s="3">
        <v>0</v>
      </c>
      <c r="K497" s="3" t="s">
        <v>5215</v>
      </c>
      <c r="L497" s="3" t="s">
        <v>2276</v>
      </c>
      <c r="M497" s="3" t="s">
        <v>2276</v>
      </c>
      <c r="N497" s="3"/>
    </row>
    <row r="498" spans="1:14" s="203" customFormat="1" ht="47" customHeight="1">
      <c r="A498" s="204" t="s">
        <v>6183</v>
      </c>
      <c r="B498" s="204" t="s">
        <v>6245</v>
      </c>
      <c r="C498" s="204" t="s">
        <v>1105</v>
      </c>
      <c r="D498" s="204" t="s">
        <v>1105</v>
      </c>
      <c r="E498" s="4" t="s">
        <v>2653</v>
      </c>
      <c r="F498" s="204" t="s">
        <v>2276</v>
      </c>
      <c r="G498" s="204"/>
      <c r="H498" s="204" t="s">
        <v>2276</v>
      </c>
      <c r="I498" s="204" t="s">
        <v>2276</v>
      </c>
      <c r="J498" s="204" t="s">
        <v>2276</v>
      </c>
      <c r="K498" s="204" t="s">
        <v>2276</v>
      </c>
      <c r="L498" s="204">
        <v>3</v>
      </c>
      <c r="M498" s="4" t="s">
        <v>6797</v>
      </c>
      <c r="N498" s="204"/>
    </row>
    <row r="499" spans="1:14" s="203" customFormat="1" ht="47" customHeight="1">
      <c r="A499" s="204" t="s">
        <v>6183</v>
      </c>
      <c r="B499" s="204" t="s">
        <v>6794</v>
      </c>
      <c r="C499" s="204" t="s">
        <v>1105</v>
      </c>
      <c r="D499" s="204" t="s">
        <v>1105</v>
      </c>
      <c r="E499" s="4" t="s">
        <v>2652</v>
      </c>
      <c r="F499" s="204" t="s">
        <v>2276</v>
      </c>
      <c r="G499" s="204"/>
      <c r="H499" s="204" t="s">
        <v>2276</v>
      </c>
      <c r="I499" s="204" t="s">
        <v>2276</v>
      </c>
      <c r="J499" s="204">
        <v>0</v>
      </c>
      <c r="K499" s="4" t="s">
        <v>6799</v>
      </c>
      <c r="L499" s="204" t="s">
        <v>2276</v>
      </c>
      <c r="M499" s="204" t="s">
        <v>2276</v>
      </c>
      <c r="N499" s="204"/>
    </row>
    <row r="500" spans="1:14" s="203" customFormat="1" ht="47" customHeight="1">
      <c r="A500" s="204" t="s">
        <v>6183</v>
      </c>
      <c r="B500" s="204" t="s">
        <v>6795</v>
      </c>
      <c r="C500" s="204" t="s">
        <v>24</v>
      </c>
      <c r="D500" s="204" t="s">
        <v>1105</v>
      </c>
      <c r="E500" s="4" t="s">
        <v>3855</v>
      </c>
      <c r="F500" s="204" t="s">
        <v>29</v>
      </c>
      <c r="G500" s="204"/>
      <c r="H500" s="204">
        <v>1</v>
      </c>
      <c r="I500" s="4" t="s">
        <v>6798</v>
      </c>
      <c r="J500" s="204" t="s">
        <v>2276</v>
      </c>
      <c r="K500" s="204" t="s">
        <v>2276</v>
      </c>
      <c r="L500" s="204" t="s">
        <v>2276</v>
      </c>
      <c r="M500" s="204" t="s">
        <v>2276</v>
      </c>
      <c r="N500" s="204"/>
    </row>
    <row r="501" spans="1:14" ht="39.5" customHeight="1">
      <c r="A501" s="4" t="s">
        <v>6402</v>
      </c>
      <c r="B501" s="4" t="s">
        <v>6545</v>
      </c>
      <c r="C501" s="4" t="s">
        <v>24</v>
      </c>
      <c r="D501" s="4" t="s">
        <v>6535</v>
      </c>
      <c r="E501" s="4" t="s">
        <v>137</v>
      </c>
      <c r="F501" s="4" t="s">
        <v>74</v>
      </c>
      <c r="G501" s="4"/>
      <c r="H501" s="204" t="s">
        <v>2276</v>
      </c>
      <c r="I501" s="204" t="s">
        <v>2276</v>
      </c>
      <c r="J501" s="4">
        <v>2</v>
      </c>
      <c r="K501" s="4" t="s">
        <v>6581</v>
      </c>
      <c r="L501" s="204" t="s">
        <v>2276</v>
      </c>
      <c r="M501" s="204" t="s">
        <v>2276</v>
      </c>
      <c r="N501" s="4" t="s">
        <v>7863</v>
      </c>
    </row>
    <row r="502" spans="1:14" ht="39.5" customHeight="1">
      <c r="A502" s="4" t="s">
        <v>6403</v>
      </c>
      <c r="B502" s="4" t="s">
        <v>6547</v>
      </c>
      <c r="C502" s="4" t="s">
        <v>24</v>
      </c>
      <c r="D502" s="4" t="s">
        <v>6535</v>
      </c>
      <c r="E502" s="4" t="s">
        <v>137</v>
      </c>
      <c r="F502" s="4" t="s">
        <v>74</v>
      </c>
      <c r="G502" s="4"/>
      <c r="H502" s="204" t="s">
        <v>2276</v>
      </c>
      <c r="I502" s="204" t="s">
        <v>2276</v>
      </c>
      <c r="J502" s="4">
        <v>2</v>
      </c>
      <c r="K502" s="4" t="s">
        <v>6581</v>
      </c>
      <c r="L502" s="204" t="s">
        <v>2276</v>
      </c>
      <c r="M502" s="204" t="s">
        <v>2276</v>
      </c>
      <c r="N502" s="4" t="s">
        <v>7863</v>
      </c>
    </row>
    <row r="503" spans="1:14" s="203" customFormat="1" ht="39.5" customHeight="1">
      <c r="A503" s="4" t="s">
        <v>6403</v>
      </c>
      <c r="B503" s="4" t="s">
        <v>6548</v>
      </c>
      <c r="C503" s="204" t="s">
        <v>1105</v>
      </c>
      <c r="D503" s="204" t="s">
        <v>1105</v>
      </c>
      <c r="E503" s="4" t="s">
        <v>2653</v>
      </c>
      <c r="F503" s="4" t="s">
        <v>74</v>
      </c>
      <c r="G503" s="204"/>
      <c r="H503" s="204" t="s">
        <v>2276</v>
      </c>
      <c r="I503" s="204" t="s">
        <v>2276</v>
      </c>
      <c r="J503" s="204">
        <v>0</v>
      </c>
      <c r="K503" s="204" t="s">
        <v>7865</v>
      </c>
      <c r="L503" s="204" t="s">
        <v>2276</v>
      </c>
      <c r="M503" s="204" t="s">
        <v>2276</v>
      </c>
      <c r="N503" s="204"/>
    </row>
    <row r="504" spans="1:14" ht="39.5" customHeight="1">
      <c r="A504" s="4" t="s">
        <v>6404</v>
      </c>
      <c r="B504" s="4" t="s">
        <v>6549</v>
      </c>
      <c r="C504" s="4" t="s">
        <v>24</v>
      </c>
      <c r="D504" s="38" t="s">
        <v>2276</v>
      </c>
      <c r="E504" s="4" t="s">
        <v>2653</v>
      </c>
      <c r="F504" s="204" t="s">
        <v>2276</v>
      </c>
      <c r="G504" s="4"/>
      <c r="H504" s="204" t="s">
        <v>2276</v>
      </c>
      <c r="I504" s="204" t="s">
        <v>2276</v>
      </c>
      <c r="J504" s="204" t="s">
        <v>2276</v>
      </c>
      <c r="K504" s="4"/>
      <c r="L504" s="4">
        <v>3</v>
      </c>
      <c r="M504" s="204" t="s">
        <v>2276</v>
      </c>
      <c r="N504" s="4"/>
    </row>
    <row r="505" spans="1:14" ht="39.5" customHeight="1">
      <c r="A505" s="4" t="s">
        <v>6404</v>
      </c>
      <c r="B505" s="4" t="s">
        <v>6550</v>
      </c>
      <c r="C505" s="4" t="s">
        <v>2656</v>
      </c>
      <c r="D505" s="38" t="s">
        <v>2276</v>
      </c>
      <c r="E505" s="24" t="s">
        <v>2653</v>
      </c>
      <c r="F505" s="204" t="s">
        <v>2276</v>
      </c>
      <c r="G505" s="4"/>
      <c r="H505" s="204" t="s">
        <v>2276</v>
      </c>
      <c r="I505" s="204" t="s">
        <v>2276</v>
      </c>
      <c r="J505" s="204" t="s">
        <v>2276</v>
      </c>
      <c r="K505" s="4"/>
      <c r="L505" s="4">
        <v>3</v>
      </c>
      <c r="M505" s="204" t="s">
        <v>2276</v>
      </c>
      <c r="N505" s="4"/>
    </row>
    <row r="506" spans="1:14" ht="39.5" customHeight="1">
      <c r="A506" s="4" t="s">
        <v>6405</v>
      </c>
      <c r="B506" s="4" t="s">
        <v>6551</v>
      </c>
      <c r="C506" s="4" t="s">
        <v>24</v>
      </c>
      <c r="D506" s="38" t="s">
        <v>2276</v>
      </c>
      <c r="E506" s="24" t="s">
        <v>2649</v>
      </c>
      <c r="F506" s="4" t="s">
        <v>74</v>
      </c>
      <c r="G506" s="4"/>
      <c r="H506" s="204" t="s">
        <v>2276</v>
      </c>
      <c r="I506" s="204" t="s">
        <v>2276</v>
      </c>
      <c r="J506" s="204" t="s">
        <v>2276</v>
      </c>
      <c r="K506" s="4"/>
      <c r="L506" s="4">
        <v>2</v>
      </c>
      <c r="M506" s="4" t="s">
        <v>6582</v>
      </c>
      <c r="N506" s="4"/>
    </row>
    <row r="507" spans="1:14" ht="39.5" customHeight="1">
      <c r="A507" s="4" t="s">
        <v>6405</v>
      </c>
      <c r="B507" s="4" t="s">
        <v>6552</v>
      </c>
      <c r="C507" s="4" t="s">
        <v>2656</v>
      </c>
      <c r="D507" s="38" t="s">
        <v>2276</v>
      </c>
      <c r="E507" s="24" t="s">
        <v>2649</v>
      </c>
      <c r="F507" s="4" t="s">
        <v>74</v>
      </c>
      <c r="G507" s="4"/>
      <c r="H507" s="204" t="s">
        <v>2276</v>
      </c>
      <c r="I507" s="204" t="s">
        <v>2276</v>
      </c>
      <c r="J507" s="204" t="s">
        <v>2276</v>
      </c>
      <c r="K507" s="4"/>
      <c r="L507" s="4">
        <v>2</v>
      </c>
      <c r="M507" s="4" t="s">
        <v>6582</v>
      </c>
      <c r="N507" s="4"/>
    </row>
    <row r="508" spans="1:14" ht="39.5" customHeight="1">
      <c r="A508" s="4" t="s">
        <v>6406</v>
      </c>
      <c r="B508" s="4" t="s">
        <v>6597</v>
      </c>
      <c r="C508" s="4" t="s">
        <v>1105</v>
      </c>
      <c r="D508" s="4" t="s">
        <v>1105</v>
      </c>
      <c r="E508" s="24" t="s">
        <v>137</v>
      </c>
      <c r="F508" s="204" t="s">
        <v>2276</v>
      </c>
      <c r="G508" s="4"/>
      <c r="H508" s="204" t="s">
        <v>2276</v>
      </c>
      <c r="I508" s="204" t="s">
        <v>2276</v>
      </c>
      <c r="J508" s="204" t="s">
        <v>2276</v>
      </c>
      <c r="K508" s="4"/>
      <c r="L508" s="204" t="s">
        <v>2276</v>
      </c>
      <c r="M508" s="4"/>
      <c r="N508" s="4"/>
    </row>
    <row r="509" spans="1:14" ht="39.5" customHeight="1">
      <c r="A509" s="4" t="s">
        <v>6407</v>
      </c>
      <c r="B509" s="4" t="s">
        <v>6598</v>
      </c>
      <c r="C509" s="4" t="s">
        <v>1105</v>
      </c>
      <c r="D509" s="4" t="s">
        <v>1105</v>
      </c>
      <c r="E509" s="24" t="s">
        <v>2649</v>
      </c>
      <c r="F509" s="204" t="s">
        <v>2276</v>
      </c>
      <c r="G509" s="4"/>
      <c r="H509" s="204" t="s">
        <v>2276</v>
      </c>
      <c r="I509" s="204" t="s">
        <v>2276</v>
      </c>
      <c r="J509" s="204" t="s">
        <v>2276</v>
      </c>
      <c r="K509" s="4"/>
      <c r="L509" s="204" t="s">
        <v>2276</v>
      </c>
      <c r="M509" s="4"/>
      <c r="N509" s="4"/>
    </row>
    <row r="510" spans="1:14" ht="39.5" customHeight="1">
      <c r="A510" s="4" t="s">
        <v>6408</v>
      </c>
      <c r="B510" s="4" t="s">
        <v>6599</v>
      </c>
      <c r="C510" s="4" t="s">
        <v>1105</v>
      </c>
      <c r="D510" s="4" t="s">
        <v>1105</v>
      </c>
      <c r="E510" s="24" t="s">
        <v>2649</v>
      </c>
      <c r="F510" s="204" t="s">
        <v>2276</v>
      </c>
      <c r="G510" s="4"/>
      <c r="H510" s="204" t="s">
        <v>2276</v>
      </c>
      <c r="I510" s="204" t="s">
        <v>2276</v>
      </c>
      <c r="J510" s="204" t="s">
        <v>2276</v>
      </c>
      <c r="K510" s="4"/>
      <c r="L510" s="204" t="s">
        <v>2276</v>
      </c>
      <c r="M510" s="4"/>
      <c r="N510" s="4"/>
    </row>
    <row r="511" spans="1:14" ht="39.5" customHeight="1">
      <c r="A511" s="4" t="s">
        <v>6409</v>
      </c>
      <c r="B511" s="4" t="s">
        <v>6553</v>
      </c>
      <c r="C511" s="4" t="s">
        <v>1105</v>
      </c>
      <c r="D511" s="4" t="s">
        <v>1105</v>
      </c>
      <c r="E511" s="24" t="s">
        <v>2649</v>
      </c>
      <c r="F511" s="4" t="s">
        <v>74</v>
      </c>
      <c r="G511" s="4"/>
      <c r="H511" s="4">
        <v>3</v>
      </c>
      <c r="I511" s="4"/>
      <c r="J511" s="4">
        <v>3</v>
      </c>
      <c r="K511" s="4" t="s">
        <v>6583</v>
      </c>
      <c r="L511" s="4">
        <v>3</v>
      </c>
      <c r="M511" s="4"/>
      <c r="N511" s="4" t="s">
        <v>6584</v>
      </c>
    </row>
    <row r="512" spans="1:14" ht="39.5" customHeight="1">
      <c r="A512" s="4" t="s">
        <v>6410</v>
      </c>
      <c r="B512" s="4" t="s">
        <v>6555</v>
      </c>
      <c r="C512" s="4" t="s">
        <v>1105</v>
      </c>
      <c r="D512" s="4" t="s">
        <v>1105</v>
      </c>
      <c r="E512" s="24" t="s">
        <v>2649</v>
      </c>
      <c r="F512" s="4" t="s">
        <v>74</v>
      </c>
      <c r="G512" s="4"/>
      <c r="H512" s="4">
        <v>3</v>
      </c>
      <c r="I512" s="4"/>
      <c r="J512" s="4">
        <v>3</v>
      </c>
      <c r="K512" s="4" t="s">
        <v>6583</v>
      </c>
      <c r="L512" s="4">
        <v>3</v>
      </c>
      <c r="M512" s="4"/>
      <c r="N512" s="4" t="s">
        <v>6584</v>
      </c>
    </row>
    <row r="513" spans="1:14" ht="39.5" customHeight="1">
      <c r="A513" s="4" t="s">
        <v>6411</v>
      </c>
      <c r="B513" s="4" t="s">
        <v>6557</v>
      </c>
      <c r="C513" s="4" t="s">
        <v>1105</v>
      </c>
      <c r="D513" s="4" t="s">
        <v>1105</v>
      </c>
      <c r="E513" s="24" t="s">
        <v>2649</v>
      </c>
      <c r="F513" s="4" t="s">
        <v>74</v>
      </c>
      <c r="G513" s="4"/>
      <c r="H513" s="4">
        <v>3</v>
      </c>
      <c r="I513" s="4"/>
      <c r="J513" s="4">
        <v>3</v>
      </c>
      <c r="K513" s="4" t="s">
        <v>6583</v>
      </c>
      <c r="L513" s="4">
        <v>3</v>
      </c>
      <c r="M513" s="4"/>
      <c r="N513" s="4" t="s">
        <v>6584</v>
      </c>
    </row>
    <row r="514" spans="1:14" ht="39.5" customHeight="1">
      <c r="A514" s="4" t="s">
        <v>6412</v>
      </c>
      <c r="B514" s="4" t="s">
        <v>6559</v>
      </c>
      <c r="C514" s="4" t="s">
        <v>1105</v>
      </c>
      <c r="D514" s="4" t="s">
        <v>1105</v>
      </c>
      <c r="E514" s="24" t="s">
        <v>2649</v>
      </c>
      <c r="F514" s="4" t="s">
        <v>74</v>
      </c>
      <c r="G514" s="4"/>
      <c r="H514" s="4">
        <v>3</v>
      </c>
      <c r="I514" s="4"/>
      <c r="J514" s="4">
        <v>3</v>
      </c>
      <c r="K514" s="4" t="s">
        <v>6583</v>
      </c>
      <c r="L514" s="4">
        <v>3</v>
      </c>
      <c r="M514" s="4"/>
      <c r="N514" s="4" t="s">
        <v>6584</v>
      </c>
    </row>
    <row r="515" spans="1:14" ht="39.5" customHeight="1">
      <c r="A515" s="4" t="s">
        <v>6413</v>
      </c>
      <c r="B515" s="4" t="s">
        <v>6561</v>
      </c>
      <c r="C515" s="4" t="s">
        <v>1105</v>
      </c>
      <c r="D515" s="4" t="s">
        <v>1105</v>
      </c>
      <c r="E515" s="24" t="s">
        <v>2649</v>
      </c>
      <c r="F515" s="4" t="s">
        <v>74</v>
      </c>
      <c r="G515" s="4"/>
      <c r="H515" s="204" t="s">
        <v>2276</v>
      </c>
      <c r="I515" s="4"/>
      <c r="J515" s="204" t="s">
        <v>2276</v>
      </c>
      <c r="K515" s="4"/>
      <c r="L515" s="4">
        <v>3</v>
      </c>
      <c r="M515" s="4"/>
      <c r="N515" s="4" t="s">
        <v>6585</v>
      </c>
    </row>
    <row r="516" spans="1:14" ht="39.5" customHeight="1">
      <c r="A516" s="4" t="s">
        <v>6413</v>
      </c>
      <c r="B516" s="4" t="s">
        <v>6639</v>
      </c>
      <c r="C516" s="4" t="s">
        <v>24</v>
      </c>
      <c r="D516" s="4" t="s">
        <v>2659</v>
      </c>
      <c r="E516" s="4" t="s">
        <v>2649</v>
      </c>
      <c r="F516" s="4" t="s">
        <v>74</v>
      </c>
      <c r="G516" s="4"/>
      <c r="H516" s="4">
        <v>2</v>
      </c>
      <c r="I516" s="4" t="s">
        <v>6586</v>
      </c>
      <c r="J516" s="204" t="s">
        <v>2276</v>
      </c>
      <c r="K516" s="4"/>
      <c r="L516" s="204" t="s">
        <v>2276</v>
      </c>
      <c r="M516" s="4"/>
      <c r="N516" s="4" t="s">
        <v>6587</v>
      </c>
    </row>
    <row r="517" spans="1:14" ht="39.5" customHeight="1">
      <c r="A517" s="4" t="s">
        <v>6414</v>
      </c>
      <c r="B517" s="4" t="s">
        <v>6562</v>
      </c>
      <c r="C517" s="4" t="s">
        <v>1105</v>
      </c>
      <c r="D517" s="4" t="s">
        <v>1105</v>
      </c>
      <c r="E517" s="4" t="s">
        <v>2649</v>
      </c>
      <c r="F517" s="4" t="s">
        <v>74</v>
      </c>
      <c r="G517" s="4"/>
      <c r="H517" s="204" t="s">
        <v>2276</v>
      </c>
      <c r="I517" s="4"/>
      <c r="J517" s="204" t="s">
        <v>2276</v>
      </c>
      <c r="K517" s="4"/>
      <c r="L517" s="4">
        <v>3</v>
      </c>
      <c r="M517" s="4"/>
      <c r="N517" s="4" t="s">
        <v>6588</v>
      </c>
    </row>
    <row r="518" spans="1:14" ht="39.5" customHeight="1">
      <c r="A518" s="4" t="s">
        <v>6414</v>
      </c>
      <c r="B518" s="4" t="s">
        <v>6600</v>
      </c>
      <c r="C518" s="4" t="s">
        <v>24</v>
      </c>
      <c r="D518" s="4" t="s">
        <v>2659</v>
      </c>
      <c r="E518" s="4" t="s">
        <v>2649</v>
      </c>
      <c r="F518" s="4" t="s">
        <v>74</v>
      </c>
      <c r="G518" s="4"/>
      <c r="H518" s="4">
        <v>2</v>
      </c>
      <c r="I518" s="4" t="s">
        <v>6586</v>
      </c>
      <c r="J518" s="204" t="s">
        <v>2276</v>
      </c>
      <c r="K518" s="4"/>
      <c r="L518" s="204" t="s">
        <v>2276</v>
      </c>
      <c r="M518" s="4"/>
      <c r="N518" s="4" t="s">
        <v>6587</v>
      </c>
    </row>
    <row r="519" spans="1:14" ht="39.5" customHeight="1">
      <c r="A519" s="4" t="s">
        <v>6415</v>
      </c>
      <c r="B519" s="4" t="s">
        <v>6563</v>
      </c>
      <c r="C519" s="4" t="s">
        <v>1105</v>
      </c>
      <c r="D519" s="4" t="s">
        <v>1105</v>
      </c>
      <c r="E519" s="4" t="s">
        <v>2649</v>
      </c>
      <c r="F519" s="4" t="s">
        <v>74</v>
      </c>
      <c r="G519" s="4"/>
      <c r="H519" s="204" t="s">
        <v>2276</v>
      </c>
      <c r="I519" s="4"/>
      <c r="J519" s="204" t="s">
        <v>2276</v>
      </c>
      <c r="K519" s="4"/>
      <c r="L519" s="4">
        <v>2</v>
      </c>
      <c r="M519" s="4"/>
      <c r="N519" s="4" t="s">
        <v>6589</v>
      </c>
    </row>
    <row r="520" spans="1:14" ht="39.5" customHeight="1">
      <c r="A520" s="4" t="s">
        <v>6415</v>
      </c>
      <c r="B520" s="4" t="s">
        <v>6601</v>
      </c>
      <c r="C520" s="4" t="s">
        <v>24</v>
      </c>
      <c r="D520" s="4" t="s">
        <v>2659</v>
      </c>
      <c r="E520" s="4" t="s">
        <v>2649</v>
      </c>
      <c r="F520" s="4" t="s">
        <v>74</v>
      </c>
      <c r="G520" s="4"/>
      <c r="H520" s="4">
        <v>2</v>
      </c>
      <c r="I520" s="4" t="s">
        <v>6586</v>
      </c>
      <c r="J520" s="204" t="s">
        <v>2276</v>
      </c>
      <c r="K520" s="4"/>
      <c r="L520" s="204" t="s">
        <v>2276</v>
      </c>
      <c r="M520" s="4"/>
      <c r="N520" s="4" t="s">
        <v>6587</v>
      </c>
    </row>
    <row r="521" spans="1:14" ht="39.5" customHeight="1">
      <c r="A521" s="4" t="s">
        <v>6415</v>
      </c>
      <c r="B521" s="4" t="s">
        <v>6602</v>
      </c>
      <c r="C521" s="4" t="s">
        <v>24</v>
      </c>
      <c r="D521" s="4" t="s">
        <v>1242</v>
      </c>
      <c r="E521" s="4" t="s">
        <v>2649</v>
      </c>
      <c r="F521" s="4" t="s">
        <v>74</v>
      </c>
      <c r="G521" s="4"/>
      <c r="H521" s="204" t="s">
        <v>2276</v>
      </c>
      <c r="I521" s="4"/>
      <c r="J521" s="204">
        <v>1</v>
      </c>
      <c r="K521" s="4" t="s">
        <v>7866</v>
      </c>
      <c r="L521" s="204" t="s">
        <v>2276</v>
      </c>
      <c r="M521" s="4"/>
      <c r="N521" s="4" t="s">
        <v>6587</v>
      </c>
    </row>
    <row r="522" spans="1:14" ht="39.5" customHeight="1">
      <c r="A522" s="4" t="s">
        <v>6415</v>
      </c>
      <c r="B522" s="4" t="s">
        <v>6603</v>
      </c>
      <c r="C522" s="4" t="s">
        <v>2656</v>
      </c>
      <c r="D522" s="38" t="s">
        <v>2276</v>
      </c>
      <c r="E522" s="4" t="s">
        <v>2649</v>
      </c>
      <c r="F522" s="4" t="s">
        <v>74</v>
      </c>
      <c r="G522" s="4"/>
      <c r="H522" s="204" t="s">
        <v>2276</v>
      </c>
      <c r="I522" s="4"/>
      <c r="J522" s="204" t="s">
        <v>2276</v>
      </c>
      <c r="K522" s="4"/>
      <c r="L522" s="4">
        <v>2</v>
      </c>
      <c r="M522" s="4"/>
      <c r="N522" s="4" t="s">
        <v>6589</v>
      </c>
    </row>
    <row r="523" spans="1:14" ht="39.5" customHeight="1">
      <c r="A523" s="4" t="s">
        <v>6416</v>
      </c>
      <c r="B523" s="4" t="s">
        <v>6564</v>
      </c>
      <c r="C523" s="4" t="s">
        <v>1105</v>
      </c>
      <c r="D523" s="4" t="s">
        <v>1105</v>
      </c>
      <c r="E523" s="4" t="s">
        <v>2649</v>
      </c>
      <c r="F523" s="4" t="s">
        <v>74</v>
      </c>
      <c r="G523" s="4"/>
      <c r="H523" s="204" t="s">
        <v>2276</v>
      </c>
      <c r="I523" s="4"/>
      <c r="J523" s="204" t="s">
        <v>2276</v>
      </c>
      <c r="K523" s="4"/>
      <c r="L523" s="4">
        <v>2</v>
      </c>
      <c r="M523" s="4"/>
      <c r="N523" s="4" t="s">
        <v>6589</v>
      </c>
    </row>
    <row r="524" spans="1:14" ht="39.5" customHeight="1">
      <c r="A524" s="4" t="s">
        <v>6416</v>
      </c>
      <c r="B524" s="4" t="s">
        <v>6604</v>
      </c>
      <c r="C524" s="4" t="s">
        <v>24</v>
      </c>
      <c r="D524" s="4" t="s">
        <v>2659</v>
      </c>
      <c r="E524" s="4" t="s">
        <v>2649</v>
      </c>
      <c r="F524" s="4" t="s">
        <v>74</v>
      </c>
      <c r="G524" s="4"/>
      <c r="H524" s="4">
        <v>2</v>
      </c>
      <c r="I524" s="4" t="s">
        <v>6586</v>
      </c>
      <c r="J524" s="204" t="s">
        <v>2276</v>
      </c>
      <c r="K524" s="4"/>
      <c r="L524" s="204" t="s">
        <v>2276</v>
      </c>
      <c r="M524" s="4"/>
      <c r="N524" s="4" t="s">
        <v>6587</v>
      </c>
    </row>
    <row r="525" spans="1:14" ht="39.5" customHeight="1">
      <c r="A525" s="4" t="s">
        <v>6416</v>
      </c>
      <c r="B525" s="4" t="s">
        <v>6605</v>
      </c>
      <c r="C525" s="4" t="s">
        <v>24</v>
      </c>
      <c r="D525" s="4" t="s">
        <v>1242</v>
      </c>
      <c r="E525" s="4" t="s">
        <v>2649</v>
      </c>
      <c r="F525" s="4" t="s">
        <v>74</v>
      </c>
      <c r="G525" s="4"/>
      <c r="H525" s="204" t="s">
        <v>2276</v>
      </c>
      <c r="I525" s="4"/>
      <c r="J525" s="4">
        <v>3</v>
      </c>
      <c r="K525" s="4" t="s">
        <v>6590</v>
      </c>
      <c r="L525" s="204" t="s">
        <v>2276</v>
      </c>
      <c r="M525" s="4"/>
      <c r="N525" s="4" t="s">
        <v>6587</v>
      </c>
    </row>
    <row r="526" spans="1:14" ht="39.5" customHeight="1">
      <c r="A526" s="4" t="s">
        <v>6416</v>
      </c>
      <c r="B526" s="4" t="s">
        <v>6606</v>
      </c>
      <c r="C526" s="4" t="s">
        <v>2656</v>
      </c>
      <c r="D526" s="38" t="s">
        <v>2276</v>
      </c>
      <c r="E526" s="4" t="s">
        <v>2649</v>
      </c>
      <c r="F526" s="4" t="s">
        <v>74</v>
      </c>
      <c r="G526" s="4"/>
      <c r="H526" s="204" t="s">
        <v>2276</v>
      </c>
      <c r="I526" s="4"/>
      <c r="J526" s="204" t="s">
        <v>2276</v>
      </c>
      <c r="K526" s="4"/>
      <c r="L526" s="4">
        <v>2</v>
      </c>
      <c r="M526" s="4"/>
      <c r="N526" s="4" t="s">
        <v>6589</v>
      </c>
    </row>
    <row r="527" spans="1:14" ht="39.5" customHeight="1">
      <c r="A527" s="4" t="s">
        <v>6417</v>
      </c>
      <c r="B527" s="210" t="s">
        <v>6565</v>
      </c>
      <c r="C527" s="4" t="s">
        <v>1105</v>
      </c>
      <c r="D527" s="4" t="s">
        <v>1105</v>
      </c>
      <c r="E527" s="4" t="s">
        <v>2649</v>
      </c>
      <c r="F527" s="4" t="s">
        <v>74</v>
      </c>
      <c r="G527" s="4"/>
      <c r="H527" s="204" t="s">
        <v>2276</v>
      </c>
      <c r="I527" s="4"/>
      <c r="J527" s="204" t="s">
        <v>2276</v>
      </c>
      <c r="K527" s="4"/>
      <c r="L527" s="4">
        <v>3</v>
      </c>
      <c r="M527" s="4"/>
      <c r="N527" s="4" t="s">
        <v>6585</v>
      </c>
    </row>
    <row r="528" spans="1:14" ht="39.5" customHeight="1">
      <c r="A528" s="4" t="s">
        <v>6417</v>
      </c>
      <c r="B528" s="210" t="s">
        <v>6607</v>
      </c>
      <c r="C528" s="4" t="s">
        <v>24</v>
      </c>
      <c r="D528" s="4" t="s">
        <v>2659</v>
      </c>
      <c r="E528" s="4" t="s">
        <v>2649</v>
      </c>
      <c r="F528" s="4" t="s">
        <v>74</v>
      </c>
      <c r="G528" s="4"/>
      <c r="H528" s="4">
        <v>1</v>
      </c>
      <c r="I528" s="4" t="s">
        <v>6591</v>
      </c>
      <c r="J528" s="204" t="s">
        <v>2276</v>
      </c>
      <c r="K528" s="4"/>
      <c r="L528" s="204" t="s">
        <v>2276</v>
      </c>
      <c r="M528" s="4"/>
      <c r="N528" s="4" t="s">
        <v>6587</v>
      </c>
    </row>
    <row r="529" spans="1:14" ht="39.5" customHeight="1">
      <c r="A529" s="4" t="s">
        <v>6418</v>
      </c>
      <c r="B529" s="4" t="s">
        <v>6566</v>
      </c>
      <c r="C529" s="4" t="s">
        <v>1105</v>
      </c>
      <c r="D529" s="4" t="s">
        <v>1105</v>
      </c>
      <c r="E529" s="4" t="s">
        <v>2649</v>
      </c>
      <c r="F529" s="4" t="s">
        <v>74</v>
      </c>
      <c r="G529" s="4"/>
      <c r="H529" s="204" t="s">
        <v>2276</v>
      </c>
      <c r="I529" s="4"/>
      <c r="J529" s="204" t="s">
        <v>2276</v>
      </c>
      <c r="K529" s="4"/>
      <c r="L529" s="4">
        <v>3</v>
      </c>
      <c r="M529" s="4"/>
      <c r="N529" s="4" t="s">
        <v>6585</v>
      </c>
    </row>
    <row r="530" spans="1:14" ht="39.5" customHeight="1">
      <c r="A530" s="4" t="s">
        <v>6418</v>
      </c>
      <c r="B530" s="4" t="s">
        <v>6608</v>
      </c>
      <c r="C530" s="4" t="s">
        <v>24</v>
      </c>
      <c r="D530" s="4" t="s">
        <v>2659</v>
      </c>
      <c r="E530" s="4" t="s">
        <v>2649</v>
      </c>
      <c r="F530" s="4" t="s">
        <v>74</v>
      </c>
      <c r="G530" s="4"/>
      <c r="H530" s="4">
        <v>2</v>
      </c>
      <c r="I530" s="4" t="s">
        <v>6586</v>
      </c>
      <c r="J530" s="204" t="s">
        <v>2276</v>
      </c>
      <c r="K530" s="4"/>
      <c r="L530" s="204" t="s">
        <v>2276</v>
      </c>
      <c r="M530" s="4"/>
      <c r="N530" s="4" t="s">
        <v>6587</v>
      </c>
    </row>
    <row r="531" spans="1:14" ht="39.5" customHeight="1">
      <c r="A531" s="4" t="s">
        <v>6567</v>
      </c>
      <c r="B531" s="4" t="s">
        <v>6568</v>
      </c>
      <c r="C531" s="4" t="s">
        <v>1105</v>
      </c>
      <c r="D531" s="4" t="s">
        <v>1105</v>
      </c>
      <c r="E531" s="4" t="s">
        <v>2649</v>
      </c>
      <c r="F531" s="4" t="s">
        <v>74</v>
      </c>
      <c r="G531" s="4"/>
      <c r="H531" s="204" t="s">
        <v>2276</v>
      </c>
      <c r="I531" s="4"/>
      <c r="J531" s="204" t="s">
        <v>2276</v>
      </c>
      <c r="K531" s="4"/>
      <c r="L531" s="4">
        <v>3</v>
      </c>
      <c r="M531" s="4"/>
      <c r="N531" s="4" t="s">
        <v>6585</v>
      </c>
    </row>
    <row r="532" spans="1:14" ht="39.5" customHeight="1">
      <c r="A532" s="4" t="s">
        <v>6567</v>
      </c>
      <c r="B532" s="4" t="s">
        <v>6609</v>
      </c>
      <c r="C532" s="4" t="s">
        <v>24</v>
      </c>
      <c r="D532" s="4" t="s">
        <v>2659</v>
      </c>
      <c r="E532" s="4" t="s">
        <v>2649</v>
      </c>
      <c r="F532" s="4" t="s">
        <v>74</v>
      </c>
      <c r="G532" s="4"/>
      <c r="H532" s="4">
        <v>2</v>
      </c>
      <c r="I532" s="4" t="s">
        <v>6586</v>
      </c>
      <c r="J532" s="204" t="s">
        <v>2276</v>
      </c>
      <c r="K532" s="4"/>
      <c r="L532" s="204" t="s">
        <v>2276</v>
      </c>
      <c r="M532" s="4"/>
      <c r="N532" s="4" t="s">
        <v>6587</v>
      </c>
    </row>
    <row r="533" spans="1:14" ht="39.5" customHeight="1">
      <c r="A533" s="4" t="s">
        <v>6567</v>
      </c>
      <c r="B533" s="4" t="s">
        <v>6610</v>
      </c>
      <c r="C533" s="4" t="s">
        <v>24</v>
      </c>
      <c r="D533" s="4" t="s">
        <v>1242</v>
      </c>
      <c r="E533" s="4" t="s">
        <v>2649</v>
      </c>
      <c r="F533" s="4" t="s">
        <v>74</v>
      </c>
      <c r="G533" s="4"/>
      <c r="H533" s="204" t="s">
        <v>2276</v>
      </c>
      <c r="I533" s="4"/>
      <c r="J533" s="4">
        <v>3</v>
      </c>
      <c r="K533" s="4" t="s">
        <v>6592</v>
      </c>
      <c r="L533" s="204" t="s">
        <v>2276</v>
      </c>
      <c r="M533" s="4"/>
      <c r="N533" s="4" t="s">
        <v>6587</v>
      </c>
    </row>
    <row r="534" spans="1:14" ht="39.5" customHeight="1">
      <c r="A534" s="4" t="s">
        <v>6420</v>
      </c>
      <c r="B534" s="4" t="s">
        <v>6569</v>
      </c>
      <c r="C534" s="4" t="s">
        <v>1105</v>
      </c>
      <c r="D534" s="4" t="s">
        <v>1105</v>
      </c>
      <c r="E534" s="4" t="s">
        <v>2649</v>
      </c>
      <c r="F534" s="4" t="s">
        <v>74</v>
      </c>
      <c r="G534" s="4"/>
      <c r="H534" s="204" t="s">
        <v>2276</v>
      </c>
      <c r="I534" s="4"/>
      <c r="J534" s="204" t="s">
        <v>2276</v>
      </c>
      <c r="K534" s="4"/>
      <c r="L534" s="4">
        <v>3</v>
      </c>
      <c r="M534" s="4"/>
      <c r="N534" s="4" t="s">
        <v>6585</v>
      </c>
    </row>
    <row r="535" spans="1:14" ht="39.5" customHeight="1">
      <c r="A535" s="4" t="s">
        <v>6420</v>
      </c>
      <c r="B535" s="4" t="s">
        <v>6611</v>
      </c>
      <c r="C535" s="4" t="s">
        <v>24</v>
      </c>
      <c r="D535" s="4" t="s">
        <v>2659</v>
      </c>
      <c r="E535" s="4" t="s">
        <v>2649</v>
      </c>
      <c r="F535" s="4" t="s">
        <v>74</v>
      </c>
      <c r="G535" s="4"/>
      <c r="H535" s="4">
        <v>2</v>
      </c>
      <c r="I535" s="4" t="s">
        <v>6586</v>
      </c>
      <c r="J535" s="204" t="s">
        <v>2276</v>
      </c>
      <c r="K535" s="4"/>
      <c r="L535" s="204" t="s">
        <v>2276</v>
      </c>
      <c r="M535" s="4"/>
      <c r="N535" s="4" t="s">
        <v>6587</v>
      </c>
    </row>
    <row r="536" spans="1:14" ht="39.5" customHeight="1">
      <c r="A536" s="4" t="s">
        <v>6421</v>
      </c>
      <c r="B536" s="4" t="s">
        <v>6570</v>
      </c>
      <c r="C536" s="4" t="s">
        <v>1105</v>
      </c>
      <c r="D536" s="4" t="s">
        <v>1105</v>
      </c>
      <c r="E536" s="4" t="s">
        <v>2649</v>
      </c>
      <c r="F536" s="4" t="s">
        <v>74</v>
      </c>
      <c r="G536" s="4"/>
      <c r="H536" s="204" t="s">
        <v>2276</v>
      </c>
      <c r="I536" s="4"/>
      <c r="J536" s="204" t="s">
        <v>2276</v>
      </c>
      <c r="K536" s="4"/>
      <c r="L536" s="4">
        <v>3</v>
      </c>
      <c r="M536" s="4"/>
      <c r="N536" s="4" t="s">
        <v>6587</v>
      </c>
    </row>
    <row r="537" spans="1:14" ht="39.5" customHeight="1">
      <c r="A537" s="4" t="s">
        <v>6421</v>
      </c>
      <c r="B537" s="4" t="s">
        <v>6612</v>
      </c>
      <c r="C537" s="4" t="s">
        <v>24</v>
      </c>
      <c r="D537" s="4" t="s">
        <v>2659</v>
      </c>
      <c r="E537" s="4" t="s">
        <v>2649</v>
      </c>
      <c r="F537" s="4" t="s">
        <v>74</v>
      </c>
      <c r="G537" s="4"/>
      <c r="H537" s="4">
        <v>2</v>
      </c>
      <c r="I537" s="4" t="s">
        <v>6586</v>
      </c>
      <c r="J537" s="204" t="s">
        <v>2276</v>
      </c>
      <c r="K537" s="4"/>
      <c r="L537" s="204" t="s">
        <v>2276</v>
      </c>
      <c r="M537" s="4"/>
      <c r="N537" s="4" t="s">
        <v>6587</v>
      </c>
    </row>
    <row r="538" spans="1:14" ht="39.5" customHeight="1">
      <c r="A538" s="4" t="s">
        <v>6422</v>
      </c>
      <c r="B538" s="4" t="s">
        <v>6571</v>
      </c>
      <c r="C538" s="4" t="s">
        <v>1105</v>
      </c>
      <c r="D538" s="4" t="s">
        <v>1105</v>
      </c>
      <c r="E538" s="4" t="s">
        <v>2649</v>
      </c>
      <c r="F538" s="4" t="s">
        <v>74</v>
      </c>
      <c r="G538" s="4"/>
      <c r="H538" s="204" t="s">
        <v>2276</v>
      </c>
      <c r="I538" s="4"/>
      <c r="J538" s="204" t="s">
        <v>2276</v>
      </c>
      <c r="K538" s="4"/>
      <c r="L538" s="4">
        <v>3</v>
      </c>
      <c r="M538" s="4"/>
      <c r="N538" s="4" t="s">
        <v>6585</v>
      </c>
    </row>
    <row r="539" spans="1:14" ht="39.5" customHeight="1">
      <c r="A539" s="4" t="s">
        <v>6422</v>
      </c>
      <c r="B539" s="4" t="s">
        <v>6613</v>
      </c>
      <c r="C539" s="4" t="s">
        <v>24</v>
      </c>
      <c r="D539" s="4" t="s">
        <v>2659</v>
      </c>
      <c r="E539" s="4" t="s">
        <v>2649</v>
      </c>
      <c r="F539" s="4" t="s">
        <v>74</v>
      </c>
      <c r="G539" s="4"/>
      <c r="H539" s="4">
        <v>2</v>
      </c>
      <c r="I539" s="4" t="s">
        <v>6586</v>
      </c>
      <c r="J539" s="204" t="s">
        <v>2276</v>
      </c>
      <c r="K539" s="4"/>
      <c r="L539" s="204" t="s">
        <v>2276</v>
      </c>
      <c r="M539" s="4"/>
      <c r="N539" s="4" t="s">
        <v>6587</v>
      </c>
    </row>
    <row r="540" spans="1:14" ht="39.5" customHeight="1">
      <c r="A540" s="4" t="s">
        <v>6422</v>
      </c>
      <c r="B540" s="4" t="s">
        <v>6614</v>
      </c>
      <c r="C540" s="4" t="s">
        <v>24</v>
      </c>
      <c r="D540" s="4" t="s">
        <v>1242</v>
      </c>
      <c r="E540" s="4" t="s">
        <v>2649</v>
      </c>
      <c r="F540" s="4" t="s">
        <v>74</v>
      </c>
      <c r="G540" s="4"/>
      <c r="H540" s="204" t="s">
        <v>2276</v>
      </c>
      <c r="I540" s="4"/>
      <c r="J540" s="4">
        <v>2</v>
      </c>
      <c r="K540" s="4" t="s">
        <v>6581</v>
      </c>
      <c r="L540" s="204" t="s">
        <v>2276</v>
      </c>
      <c r="M540" s="4"/>
      <c r="N540" s="4" t="s">
        <v>6587</v>
      </c>
    </row>
    <row r="541" spans="1:14" ht="39.5" customHeight="1">
      <c r="A541" s="4" t="s">
        <v>6423</v>
      </c>
      <c r="B541" s="4" t="s">
        <v>6572</v>
      </c>
      <c r="C541" s="4" t="s">
        <v>1105</v>
      </c>
      <c r="D541" s="4" t="s">
        <v>1105</v>
      </c>
      <c r="E541" s="4" t="s">
        <v>2649</v>
      </c>
      <c r="F541" s="4" t="s">
        <v>74</v>
      </c>
      <c r="G541" s="4"/>
      <c r="H541" s="204" t="s">
        <v>2276</v>
      </c>
      <c r="I541" s="4"/>
      <c r="J541" s="204" t="s">
        <v>2276</v>
      </c>
      <c r="K541" s="4"/>
      <c r="L541" s="4">
        <v>3</v>
      </c>
      <c r="M541" s="4"/>
      <c r="N541" s="4" t="s">
        <v>6585</v>
      </c>
    </row>
    <row r="542" spans="1:14" ht="39.5" customHeight="1">
      <c r="A542" s="4" t="s">
        <v>6423</v>
      </c>
      <c r="B542" s="4" t="s">
        <v>6615</v>
      </c>
      <c r="C542" s="4" t="s">
        <v>24</v>
      </c>
      <c r="D542" s="4" t="s">
        <v>2659</v>
      </c>
      <c r="E542" s="4" t="s">
        <v>2649</v>
      </c>
      <c r="F542" s="4" t="s">
        <v>74</v>
      </c>
      <c r="G542" s="4"/>
      <c r="H542" s="4">
        <v>2</v>
      </c>
      <c r="I542" s="4" t="s">
        <v>6586</v>
      </c>
      <c r="J542" s="204" t="s">
        <v>2276</v>
      </c>
      <c r="K542" s="4"/>
      <c r="L542" s="204" t="s">
        <v>2276</v>
      </c>
      <c r="M542" s="4"/>
      <c r="N542" s="4" t="s">
        <v>6587</v>
      </c>
    </row>
    <row r="543" spans="1:14" ht="39.5" customHeight="1">
      <c r="A543" s="4" t="s">
        <v>6423</v>
      </c>
      <c r="B543" s="4" t="s">
        <v>6616</v>
      </c>
      <c r="C543" s="4" t="s">
        <v>24</v>
      </c>
      <c r="D543" s="4" t="s">
        <v>1242</v>
      </c>
      <c r="E543" s="4" t="s">
        <v>2649</v>
      </c>
      <c r="F543" s="4" t="s">
        <v>74</v>
      </c>
      <c r="G543" s="4"/>
      <c r="H543" s="204" t="s">
        <v>2276</v>
      </c>
      <c r="I543" s="4"/>
      <c r="J543" s="4">
        <v>3</v>
      </c>
      <c r="K543" s="4" t="s">
        <v>6590</v>
      </c>
      <c r="L543" s="204" t="s">
        <v>2276</v>
      </c>
      <c r="M543" s="4"/>
      <c r="N543" s="4" t="s">
        <v>6587</v>
      </c>
    </row>
    <row r="544" spans="1:14" ht="39.5" customHeight="1">
      <c r="A544" s="4" t="s">
        <v>6424</v>
      </c>
      <c r="B544" s="4" t="s">
        <v>6573</v>
      </c>
      <c r="C544" s="4" t="s">
        <v>6541</v>
      </c>
      <c r="D544" s="38" t="s">
        <v>30</v>
      </c>
      <c r="E544" s="4" t="s">
        <v>137</v>
      </c>
      <c r="F544" s="4" t="s">
        <v>74</v>
      </c>
      <c r="G544" s="4"/>
      <c r="H544" s="204" t="s">
        <v>2276</v>
      </c>
      <c r="I544" s="4"/>
      <c r="J544" s="4">
        <v>0</v>
      </c>
      <c r="K544" s="4"/>
      <c r="L544" s="4">
        <v>1</v>
      </c>
      <c r="M544" s="4"/>
      <c r="N544" s="166" t="s">
        <v>7867</v>
      </c>
    </row>
    <row r="545" spans="1:14" ht="39.5" customHeight="1">
      <c r="A545" s="4" t="s">
        <v>6424</v>
      </c>
      <c r="B545" s="4" t="s">
        <v>6574</v>
      </c>
      <c r="C545" s="4" t="s">
        <v>2656</v>
      </c>
      <c r="D545" s="38" t="s">
        <v>2276</v>
      </c>
      <c r="E545" s="4" t="s">
        <v>137</v>
      </c>
      <c r="F545" s="4" t="s">
        <v>74</v>
      </c>
      <c r="G545" s="4"/>
      <c r="H545" s="204" t="s">
        <v>2276</v>
      </c>
      <c r="I545" s="4"/>
      <c r="J545" s="4">
        <v>0</v>
      </c>
      <c r="K545" s="4"/>
      <c r="L545" s="4">
        <v>1</v>
      </c>
      <c r="M545" s="4"/>
      <c r="N545" s="166" t="s">
        <v>7867</v>
      </c>
    </row>
    <row r="546" spans="1:14" ht="39.5" customHeight="1">
      <c r="A546" s="4" t="s">
        <v>6425</v>
      </c>
      <c r="B546" s="4" t="s">
        <v>6617</v>
      </c>
      <c r="C546" s="4" t="s">
        <v>6541</v>
      </c>
      <c r="D546" s="38" t="s">
        <v>30</v>
      </c>
      <c r="E546" s="4" t="s">
        <v>2649</v>
      </c>
      <c r="F546" s="4" t="s">
        <v>74</v>
      </c>
      <c r="G546" s="4"/>
      <c r="H546" s="204" t="s">
        <v>2276</v>
      </c>
      <c r="I546" s="4"/>
      <c r="J546" s="204" t="s">
        <v>2276</v>
      </c>
      <c r="K546" s="4"/>
      <c r="L546" s="4">
        <v>3</v>
      </c>
      <c r="M546" s="4"/>
      <c r="N546" s="166"/>
    </row>
    <row r="547" spans="1:14" ht="39.5" customHeight="1">
      <c r="A547" s="4" t="s">
        <v>6425</v>
      </c>
      <c r="B547" s="4" t="s">
        <v>6618</v>
      </c>
      <c r="C547" s="4" t="s">
        <v>2656</v>
      </c>
      <c r="D547" s="38" t="s">
        <v>2276</v>
      </c>
      <c r="E547" s="4" t="s">
        <v>2649</v>
      </c>
      <c r="F547" s="4" t="s">
        <v>74</v>
      </c>
      <c r="G547" s="4"/>
      <c r="H547" s="204" t="s">
        <v>2276</v>
      </c>
      <c r="I547" s="4"/>
      <c r="J547" s="204" t="s">
        <v>2276</v>
      </c>
      <c r="K547" s="4"/>
      <c r="L547" s="4">
        <v>3</v>
      </c>
      <c r="M547" s="4"/>
      <c r="N547" s="166"/>
    </row>
    <row r="548" spans="1:14" ht="39.5" customHeight="1">
      <c r="A548" s="4" t="s">
        <v>6426</v>
      </c>
      <c r="B548" s="4" t="s">
        <v>6575</v>
      </c>
      <c r="C548" s="4" t="s">
        <v>1105</v>
      </c>
      <c r="D548" s="4" t="s">
        <v>1105</v>
      </c>
      <c r="E548" s="4" t="s">
        <v>2649</v>
      </c>
      <c r="F548" s="4" t="s">
        <v>74</v>
      </c>
      <c r="G548" s="4"/>
      <c r="H548" s="204" t="s">
        <v>2276</v>
      </c>
      <c r="I548" s="4"/>
      <c r="J548" s="4">
        <v>0</v>
      </c>
      <c r="K548" s="4"/>
      <c r="L548" s="4">
        <v>2</v>
      </c>
      <c r="M548" s="4" t="s">
        <v>6593</v>
      </c>
      <c r="N548" s="4" t="s">
        <v>6594</v>
      </c>
    </row>
    <row r="549" spans="1:14" ht="39.5" customHeight="1">
      <c r="A549" s="4" t="s">
        <v>6427</v>
      </c>
      <c r="B549" s="4" t="s">
        <v>6578</v>
      </c>
      <c r="C549" s="4" t="s">
        <v>24</v>
      </c>
      <c r="D549" s="4" t="s">
        <v>1242</v>
      </c>
      <c r="E549" s="4" t="s">
        <v>2649</v>
      </c>
      <c r="F549" s="4" t="s">
        <v>74</v>
      </c>
      <c r="G549" s="4"/>
      <c r="H549" s="4">
        <v>2</v>
      </c>
      <c r="I549" s="4" t="s">
        <v>6595</v>
      </c>
      <c r="J549" s="4">
        <v>2</v>
      </c>
      <c r="K549" s="4" t="s">
        <v>6581</v>
      </c>
      <c r="L549" s="204" t="s">
        <v>2276</v>
      </c>
      <c r="M549" s="4"/>
      <c r="N549" s="4"/>
    </row>
    <row r="550" spans="1:14" ht="39.5" customHeight="1">
      <c r="A550" s="4" t="s">
        <v>6428</v>
      </c>
      <c r="B550" s="4" t="s">
        <v>6579</v>
      </c>
      <c r="C550" s="4" t="s">
        <v>24</v>
      </c>
      <c r="D550" s="4" t="s">
        <v>1242</v>
      </c>
      <c r="E550" s="4" t="s">
        <v>2649</v>
      </c>
      <c r="F550" s="4" t="s">
        <v>74</v>
      </c>
      <c r="G550" s="4"/>
      <c r="H550" s="204" t="s">
        <v>2276</v>
      </c>
      <c r="I550" s="4"/>
      <c r="J550" s="4">
        <v>2</v>
      </c>
      <c r="K550" s="4" t="s">
        <v>6581</v>
      </c>
      <c r="L550" s="204" t="s">
        <v>2276</v>
      </c>
      <c r="M550" s="4"/>
      <c r="N550" s="4" t="s">
        <v>6596</v>
      </c>
    </row>
    <row r="551" spans="1:14" ht="39.5" customHeight="1">
      <c r="A551" s="19" t="s">
        <v>6990</v>
      </c>
      <c r="B551" s="19" t="s">
        <v>6993</v>
      </c>
      <c r="C551" s="204" t="s">
        <v>1105</v>
      </c>
      <c r="D551" s="204" t="s">
        <v>1105</v>
      </c>
      <c r="E551" s="4" t="s">
        <v>45</v>
      </c>
      <c r="F551" s="204" t="s">
        <v>55</v>
      </c>
      <c r="G551" s="204"/>
      <c r="H551" s="204"/>
      <c r="I551" s="204"/>
      <c r="J551" s="204">
        <v>2</v>
      </c>
      <c r="K551" s="204" t="s">
        <v>6995</v>
      </c>
      <c r="L551" s="204"/>
      <c r="M551" s="204"/>
      <c r="N551" s="204"/>
    </row>
    <row r="552" spans="1:14" ht="39.5" customHeight="1">
      <c r="A552" s="19" t="s">
        <v>6990</v>
      </c>
      <c r="B552" s="19" t="s">
        <v>6994</v>
      </c>
      <c r="C552" s="204" t="s">
        <v>1105</v>
      </c>
      <c r="D552" s="204" t="s">
        <v>1105</v>
      </c>
      <c r="E552" s="4" t="s">
        <v>5801</v>
      </c>
      <c r="F552" s="204" t="s">
        <v>55</v>
      </c>
      <c r="G552" s="204"/>
      <c r="H552" s="204"/>
      <c r="I552" s="204"/>
      <c r="J552" s="204">
        <v>0</v>
      </c>
      <c r="K552" s="204" t="s">
        <v>6996</v>
      </c>
      <c r="L552" s="204"/>
      <c r="M552" s="204"/>
      <c r="N552" s="204"/>
    </row>
    <row r="553" spans="1:14" ht="38.5" customHeight="1">
      <c r="A553" s="19" t="s">
        <v>7048</v>
      </c>
      <c r="B553" s="19" t="s">
        <v>7051</v>
      </c>
      <c r="C553" s="204" t="s">
        <v>24</v>
      </c>
      <c r="D553" s="204" t="s">
        <v>1242</v>
      </c>
      <c r="E553" s="4" t="s">
        <v>45</v>
      </c>
      <c r="F553" s="204" t="s">
        <v>28</v>
      </c>
      <c r="G553" s="204"/>
      <c r="H553" s="204"/>
      <c r="I553" s="204"/>
      <c r="J553" s="204">
        <v>1</v>
      </c>
      <c r="K553" s="19" t="s">
        <v>7059</v>
      </c>
      <c r="L553" s="204"/>
      <c r="M553" s="204"/>
      <c r="N553" s="204"/>
    </row>
    <row r="554" spans="1:14" ht="39" customHeight="1">
      <c r="A554" s="19" t="s">
        <v>7061</v>
      </c>
      <c r="B554" s="19" t="s">
        <v>7069</v>
      </c>
      <c r="C554" s="204" t="s">
        <v>1105</v>
      </c>
      <c r="D554" s="204" t="s">
        <v>1105</v>
      </c>
      <c r="E554" s="4" t="s">
        <v>3209</v>
      </c>
      <c r="F554" s="204" t="s">
        <v>2276</v>
      </c>
      <c r="G554" s="204"/>
      <c r="H554" s="204" t="s">
        <v>2276</v>
      </c>
      <c r="I554" s="204" t="s">
        <v>2276</v>
      </c>
      <c r="J554" s="204">
        <v>1</v>
      </c>
      <c r="K554" s="204" t="s">
        <v>7079</v>
      </c>
      <c r="L554" s="4">
        <v>2</v>
      </c>
      <c r="M554" s="204" t="s">
        <v>7078</v>
      </c>
      <c r="N554" s="204"/>
    </row>
    <row r="555" spans="1:14" ht="50.5" customHeight="1">
      <c r="A555" s="19" t="s">
        <v>7061</v>
      </c>
      <c r="B555" s="19" t="s">
        <v>7070</v>
      </c>
      <c r="C555" s="204" t="s">
        <v>24</v>
      </c>
      <c r="D555" s="204" t="s">
        <v>2276</v>
      </c>
      <c r="E555" s="4" t="s">
        <v>45</v>
      </c>
      <c r="F555" s="204" t="s">
        <v>2276</v>
      </c>
      <c r="G555" s="204"/>
      <c r="H555" s="204">
        <v>0</v>
      </c>
      <c r="I555" s="4" t="s">
        <v>7080</v>
      </c>
      <c r="J555" s="204" t="s">
        <v>2276</v>
      </c>
      <c r="K555" s="204" t="s">
        <v>2276</v>
      </c>
      <c r="L555" s="204" t="s">
        <v>2276</v>
      </c>
      <c r="M555" s="204" t="s">
        <v>2276</v>
      </c>
      <c r="N555" s="204"/>
    </row>
    <row r="556" spans="1:14" ht="50.5" customHeight="1">
      <c r="A556" s="19" t="s">
        <v>7061</v>
      </c>
      <c r="B556" s="19" t="s">
        <v>7071</v>
      </c>
      <c r="C556" s="204" t="s">
        <v>24</v>
      </c>
      <c r="D556" s="204" t="s">
        <v>2276</v>
      </c>
      <c r="E556" s="4" t="s">
        <v>130</v>
      </c>
      <c r="F556" s="204" t="s">
        <v>2276</v>
      </c>
      <c r="G556" s="204"/>
      <c r="H556" s="204">
        <v>0</v>
      </c>
      <c r="I556" s="4" t="s">
        <v>7080</v>
      </c>
      <c r="J556" s="204" t="s">
        <v>2276</v>
      </c>
      <c r="K556" s="204" t="s">
        <v>2276</v>
      </c>
      <c r="L556" s="204" t="s">
        <v>2276</v>
      </c>
      <c r="M556" s="204" t="s">
        <v>2276</v>
      </c>
      <c r="N556" s="204"/>
    </row>
    <row r="557" spans="1:14" ht="36.5" customHeight="1">
      <c r="A557" s="19" t="s">
        <v>7081</v>
      </c>
      <c r="B557" s="19" t="s">
        <v>7085</v>
      </c>
      <c r="C557" s="204" t="s">
        <v>24</v>
      </c>
      <c r="D557" s="204" t="s">
        <v>1242</v>
      </c>
      <c r="E557" s="4" t="s">
        <v>3209</v>
      </c>
      <c r="F557" s="4" t="s">
        <v>2662</v>
      </c>
      <c r="G557" s="204"/>
      <c r="H557" s="204">
        <v>3</v>
      </c>
      <c r="I557" s="204" t="s">
        <v>7091</v>
      </c>
      <c r="J557" s="204">
        <v>2</v>
      </c>
      <c r="K557" s="204" t="s">
        <v>7090</v>
      </c>
      <c r="L557" s="204" t="s">
        <v>2276</v>
      </c>
      <c r="M557" s="204" t="s">
        <v>2276</v>
      </c>
      <c r="N557" s="204"/>
    </row>
    <row r="558" spans="1:14" ht="35.5" customHeight="1">
      <c r="A558" s="19" t="s">
        <v>7081</v>
      </c>
      <c r="B558" s="19" t="s">
        <v>7086</v>
      </c>
      <c r="C558" s="204" t="s">
        <v>24</v>
      </c>
      <c r="D558" s="204" t="s">
        <v>1105</v>
      </c>
      <c r="E558" s="4" t="s">
        <v>5801</v>
      </c>
      <c r="F558" s="4" t="s">
        <v>2662</v>
      </c>
      <c r="G558" s="204"/>
      <c r="H558" s="204" t="s">
        <v>2276</v>
      </c>
      <c r="I558" s="204" t="s">
        <v>2276</v>
      </c>
      <c r="J558" s="204">
        <v>0</v>
      </c>
      <c r="K558" s="4" t="s">
        <v>7092</v>
      </c>
      <c r="L558" s="204" t="s">
        <v>2276</v>
      </c>
      <c r="M558" s="204" t="s">
        <v>2276</v>
      </c>
      <c r="N558" s="204"/>
    </row>
    <row r="559" spans="1:14" ht="29">
      <c r="A559" s="19" t="s">
        <v>7081</v>
      </c>
      <c r="B559" s="19" t="s">
        <v>7087</v>
      </c>
      <c r="C559" s="204" t="s">
        <v>24</v>
      </c>
      <c r="D559" s="204" t="s">
        <v>1242</v>
      </c>
      <c r="E559" s="4" t="s">
        <v>3209</v>
      </c>
      <c r="F559" s="4" t="s">
        <v>2662</v>
      </c>
      <c r="G559" s="204"/>
      <c r="H559" s="204">
        <v>3</v>
      </c>
      <c r="I559" s="204" t="s">
        <v>7091</v>
      </c>
      <c r="J559" s="204">
        <v>2</v>
      </c>
      <c r="K559" s="204" t="s">
        <v>7090</v>
      </c>
      <c r="L559" s="204" t="s">
        <v>2276</v>
      </c>
      <c r="M559" s="204" t="s">
        <v>2276</v>
      </c>
      <c r="N559" s="204"/>
    </row>
    <row r="560" spans="1:14" ht="36.5" customHeight="1">
      <c r="A560" s="19" t="s">
        <v>7096</v>
      </c>
      <c r="B560" s="19" t="s">
        <v>7185</v>
      </c>
      <c r="C560" s="204" t="s">
        <v>1105</v>
      </c>
      <c r="D560" s="204" t="s">
        <v>1105</v>
      </c>
      <c r="E560" s="4" t="s">
        <v>45</v>
      </c>
      <c r="F560" s="4" t="s">
        <v>2662</v>
      </c>
      <c r="G560" s="204"/>
      <c r="H560" s="204" t="s">
        <v>2276</v>
      </c>
      <c r="I560" s="204" t="s">
        <v>2276</v>
      </c>
      <c r="J560" s="204">
        <v>2</v>
      </c>
      <c r="K560" s="4" t="s">
        <v>7189</v>
      </c>
      <c r="L560" s="204" t="s">
        <v>2276</v>
      </c>
      <c r="M560" s="204" t="s">
        <v>2276</v>
      </c>
      <c r="N560" s="204"/>
    </row>
    <row r="561" spans="1:14" ht="36.5" customHeight="1">
      <c r="A561" s="19" t="s">
        <v>7096</v>
      </c>
      <c r="B561" s="19" t="s">
        <v>7186</v>
      </c>
      <c r="C561" s="204" t="s">
        <v>1105</v>
      </c>
      <c r="D561" s="204" t="s">
        <v>1105</v>
      </c>
      <c r="E561" s="4" t="s">
        <v>5801</v>
      </c>
      <c r="F561" s="4" t="s">
        <v>2662</v>
      </c>
      <c r="G561" s="204"/>
      <c r="H561" s="204" t="s">
        <v>2276</v>
      </c>
      <c r="I561" s="204" t="s">
        <v>2276</v>
      </c>
      <c r="J561" s="204">
        <v>0</v>
      </c>
      <c r="K561" s="4" t="s">
        <v>7092</v>
      </c>
      <c r="L561" s="204" t="s">
        <v>2276</v>
      </c>
      <c r="M561" s="204" t="s">
        <v>2276</v>
      </c>
      <c r="N561" s="204"/>
    </row>
    <row r="562" spans="1:14" ht="36.5" customHeight="1">
      <c r="A562" s="19" t="s">
        <v>7116</v>
      </c>
      <c r="B562" s="19" t="s">
        <v>7187</v>
      </c>
      <c r="C562" s="204" t="s">
        <v>1105</v>
      </c>
      <c r="D562" s="204" t="s">
        <v>1105</v>
      </c>
      <c r="E562" s="4" t="s">
        <v>5801</v>
      </c>
      <c r="F562" s="4" t="s">
        <v>2662</v>
      </c>
      <c r="G562" s="204"/>
      <c r="H562" s="204" t="s">
        <v>2276</v>
      </c>
      <c r="I562" s="204" t="s">
        <v>2276</v>
      </c>
      <c r="J562" s="204">
        <v>0</v>
      </c>
      <c r="K562" s="4" t="s">
        <v>7092</v>
      </c>
      <c r="L562" s="204" t="s">
        <v>2276</v>
      </c>
      <c r="M562" s="204" t="s">
        <v>2276</v>
      </c>
      <c r="N562" s="204"/>
    </row>
    <row r="563" spans="1:14" ht="36.5" customHeight="1">
      <c r="A563" s="19" t="s">
        <v>7116</v>
      </c>
      <c r="B563" s="19" t="s">
        <v>7188</v>
      </c>
      <c r="C563" s="204" t="s">
        <v>1105</v>
      </c>
      <c r="D563" s="204" t="s">
        <v>1105</v>
      </c>
      <c r="E563" s="4" t="s">
        <v>5801</v>
      </c>
      <c r="F563" s="4" t="s">
        <v>2662</v>
      </c>
      <c r="G563" s="204"/>
      <c r="H563" s="204" t="s">
        <v>2276</v>
      </c>
      <c r="I563" s="204" t="s">
        <v>2276</v>
      </c>
      <c r="J563" s="204">
        <v>0</v>
      </c>
      <c r="K563" s="4" t="s">
        <v>7092</v>
      </c>
      <c r="L563" s="204" t="s">
        <v>2276</v>
      </c>
      <c r="M563" s="204" t="s">
        <v>2276</v>
      </c>
      <c r="N563" s="204"/>
    </row>
    <row r="564" spans="1:14" ht="30" customHeight="1">
      <c r="A564" s="19" t="s">
        <v>7121</v>
      </c>
      <c r="B564" s="19" t="s">
        <v>7190</v>
      </c>
      <c r="C564" s="204" t="s">
        <v>1105</v>
      </c>
      <c r="D564" s="204" t="s">
        <v>1105</v>
      </c>
      <c r="E564" s="4" t="s">
        <v>45</v>
      </c>
      <c r="F564" s="4" t="s">
        <v>2662</v>
      </c>
      <c r="G564" s="204"/>
      <c r="H564" s="204" t="s">
        <v>2276</v>
      </c>
      <c r="I564" s="204" t="s">
        <v>2276</v>
      </c>
      <c r="J564" s="204">
        <v>2</v>
      </c>
      <c r="K564" s="4" t="s">
        <v>7189</v>
      </c>
      <c r="L564" s="204" t="s">
        <v>2276</v>
      </c>
      <c r="M564" s="204" t="s">
        <v>2276</v>
      </c>
      <c r="N564" s="204"/>
    </row>
    <row r="565" spans="1:14" ht="29">
      <c r="A565" s="19" t="s">
        <v>7121</v>
      </c>
      <c r="B565" s="19" t="s">
        <v>7195</v>
      </c>
      <c r="C565" s="204" t="s">
        <v>1105</v>
      </c>
      <c r="D565" s="204" t="s">
        <v>1105</v>
      </c>
      <c r="E565" s="4" t="s">
        <v>5801</v>
      </c>
      <c r="F565" s="4" t="s">
        <v>2662</v>
      </c>
      <c r="G565" s="204"/>
      <c r="H565" s="204" t="s">
        <v>2276</v>
      </c>
      <c r="I565" s="204" t="s">
        <v>2276</v>
      </c>
      <c r="J565" s="204">
        <v>0</v>
      </c>
      <c r="K565" s="4" t="s">
        <v>7092</v>
      </c>
      <c r="L565" s="204" t="s">
        <v>2276</v>
      </c>
      <c r="M565" s="204" t="s">
        <v>2276</v>
      </c>
      <c r="N565" s="204"/>
    </row>
    <row r="566" spans="1:14" ht="29">
      <c r="A566" s="19" t="s">
        <v>7122</v>
      </c>
      <c r="B566" s="19" t="s">
        <v>7191</v>
      </c>
      <c r="C566" s="204" t="s">
        <v>1105</v>
      </c>
      <c r="D566" s="204" t="s">
        <v>1105</v>
      </c>
      <c r="E566" s="4" t="s">
        <v>45</v>
      </c>
      <c r="F566" s="4" t="s">
        <v>2662</v>
      </c>
      <c r="G566" s="204"/>
      <c r="H566" s="204" t="s">
        <v>2276</v>
      </c>
      <c r="I566" s="204" t="s">
        <v>2276</v>
      </c>
      <c r="J566" s="204">
        <v>2</v>
      </c>
      <c r="K566" s="4" t="s">
        <v>7189</v>
      </c>
      <c r="L566" s="204" t="s">
        <v>2276</v>
      </c>
      <c r="M566" s="204" t="s">
        <v>2276</v>
      </c>
      <c r="N566" s="204"/>
    </row>
    <row r="567" spans="1:14" ht="29">
      <c r="A567" s="19" t="s">
        <v>7122</v>
      </c>
      <c r="B567" s="19" t="s">
        <v>7196</v>
      </c>
      <c r="C567" s="204" t="s">
        <v>1105</v>
      </c>
      <c r="D567" s="204" t="s">
        <v>1105</v>
      </c>
      <c r="E567" s="4" t="s">
        <v>5801</v>
      </c>
      <c r="F567" s="4" t="s">
        <v>2662</v>
      </c>
      <c r="G567" s="204"/>
      <c r="H567" s="204" t="s">
        <v>2276</v>
      </c>
      <c r="I567" s="204" t="s">
        <v>2276</v>
      </c>
      <c r="J567" s="204">
        <v>0</v>
      </c>
      <c r="K567" s="4" t="s">
        <v>7092</v>
      </c>
      <c r="L567" s="204" t="s">
        <v>2276</v>
      </c>
      <c r="M567" s="204" t="s">
        <v>2276</v>
      </c>
      <c r="N567" s="204"/>
    </row>
    <row r="568" spans="1:14" ht="29">
      <c r="A568" s="19" t="s">
        <v>7123</v>
      </c>
      <c r="B568" s="19" t="s">
        <v>7192</v>
      </c>
      <c r="C568" s="204" t="s">
        <v>1105</v>
      </c>
      <c r="D568" s="204" t="s">
        <v>1105</v>
      </c>
      <c r="E568" s="4" t="s">
        <v>45</v>
      </c>
      <c r="F568" s="4" t="s">
        <v>2662</v>
      </c>
      <c r="G568" s="204"/>
      <c r="H568" s="204" t="s">
        <v>2276</v>
      </c>
      <c r="I568" s="204" t="s">
        <v>2276</v>
      </c>
      <c r="J568" s="204">
        <v>2</v>
      </c>
      <c r="K568" s="4" t="s">
        <v>7189</v>
      </c>
      <c r="L568" s="204" t="s">
        <v>2276</v>
      </c>
      <c r="M568" s="204" t="s">
        <v>2276</v>
      </c>
      <c r="N568" s="204"/>
    </row>
    <row r="569" spans="1:14" ht="29">
      <c r="A569" s="19" t="s">
        <v>7123</v>
      </c>
      <c r="B569" s="19" t="s">
        <v>7197</v>
      </c>
      <c r="C569" s="204" t="s">
        <v>1105</v>
      </c>
      <c r="D569" s="204" t="s">
        <v>1105</v>
      </c>
      <c r="E569" s="4" t="s">
        <v>5801</v>
      </c>
      <c r="F569" s="4" t="s">
        <v>2662</v>
      </c>
      <c r="G569" s="204"/>
      <c r="H569" s="204" t="s">
        <v>2276</v>
      </c>
      <c r="I569" s="204" t="s">
        <v>2276</v>
      </c>
      <c r="J569" s="204">
        <v>0</v>
      </c>
      <c r="K569" s="4" t="s">
        <v>7092</v>
      </c>
      <c r="L569" s="204" t="s">
        <v>2276</v>
      </c>
      <c r="M569" s="204" t="s">
        <v>2276</v>
      </c>
      <c r="N569" s="204"/>
    </row>
    <row r="570" spans="1:14" ht="29">
      <c r="A570" s="19" t="s">
        <v>7124</v>
      </c>
      <c r="B570" s="19" t="s">
        <v>7193</v>
      </c>
      <c r="C570" s="204" t="s">
        <v>1105</v>
      </c>
      <c r="D570" s="204" t="s">
        <v>1105</v>
      </c>
      <c r="E570" s="4" t="s">
        <v>45</v>
      </c>
      <c r="F570" s="4" t="s">
        <v>2662</v>
      </c>
      <c r="G570" s="204"/>
      <c r="H570" s="204" t="s">
        <v>2276</v>
      </c>
      <c r="I570" s="204" t="s">
        <v>2276</v>
      </c>
      <c r="J570" s="204">
        <v>2</v>
      </c>
      <c r="K570" s="4" t="s">
        <v>7189</v>
      </c>
      <c r="L570" s="204" t="s">
        <v>2276</v>
      </c>
      <c r="M570" s="204" t="s">
        <v>2276</v>
      </c>
      <c r="N570" s="204"/>
    </row>
    <row r="571" spans="1:14" ht="29">
      <c r="A571" s="19" t="s">
        <v>7124</v>
      </c>
      <c r="B571" s="19" t="s">
        <v>7198</v>
      </c>
      <c r="C571" s="204" t="s">
        <v>1105</v>
      </c>
      <c r="D571" s="204" t="s">
        <v>1105</v>
      </c>
      <c r="E571" s="4" t="s">
        <v>5801</v>
      </c>
      <c r="F571" s="4" t="s">
        <v>2662</v>
      </c>
      <c r="G571" s="204"/>
      <c r="H571" s="204" t="s">
        <v>2276</v>
      </c>
      <c r="I571" s="204" t="s">
        <v>2276</v>
      </c>
      <c r="J571" s="204">
        <v>0</v>
      </c>
      <c r="K571" s="4" t="s">
        <v>7092</v>
      </c>
      <c r="L571" s="204" t="s">
        <v>2276</v>
      </c>
      <c r="M571" s="204" t="s">
        <v>2276</v>
      </c>
      <c r="N571" s="204"/>
    </row>
    <row r="572" spans="1:14" ht="29">
      <c r="A572" s="19" t="s">
        <v>7125</v>
      </c>
      <c r="B572" s="19" t="s">
        <v>7194</v>
      </c>
      <c r="C572" s="204" t="s">
        <v>1105</v>
      </c>
      <c r="D572" s="204" t="s">
        <v>1105</v>
      </c>
      <c r="E572" s="4" t="s">
        <v>45</v>
      </c>
      <c r="F572" s="4" t="s">
        <v>2662</v>
      </c>
      <c r="G572" s="204"/>
      <c r="H572" s="204" t="s">
        <v>2276</v>
      </c>
      <c r="I572" s="204" t="s">
        <v>2276</v>
      </c>
      <c r="J572" s="204">
        <v>2</v>
      </c>
      <c r="K572" s="4" t="s">
        <v>7189</v>
      </c>
      <c r="L572" s="204" t="s">
        <v>2276</v>
      </c>
      <c r="M572" s="204" t="s">
        <v>2276</v>
      </c>
      <c r="N572" s="204"/>
    </row>
    <row r="573" spans="1:14" ht="29">
      <c r="A573" s="19" t="s">
        <v>7125</v>
      </c>
      <c r="B573" s="19" t="s">
        <v>7199</v>
      </c>
      <c r="C573" s="204" t="s">
        <v>1105</v>
      </c>
      <c r="D573" s="204" t="s">
        <v>1105</v>
      </c>
      <c r="E573" s="4" t="s">
        <v>5801</v>
      </c>
      <c r="F573" s="4" t="s">
        <v>2662</v>
      </c>
      <c r="G573" s="204"/>
      <c r="H573" s="204" t="s">
        <v>2276</v>
      </c>
      <c r="I573" s="204" t="s">
        <v>2276</v>
      </c>
      <c r="J573" s="204">
        <v>0</v>
      </c>
      <c r="K573" s="4" t="s">
        <v>7092</v>
      </c>
      <c r="L573" s="204" t="s">
        <v>2276</v>
      </c>
      <c r="M573" s="204" t="s">
        <v>2276</v>
      </c>
      <c r="N573" s="204"/>
    </row>
    <row r="574" spans="1:14" ht="47" customHeight="1">
      <c r="A574" s="19" t="s">
        <v>7127</v>
      </c>
      <c r="B574" s="19" t="s">
        <v>7203</v>
      </c>
      <c r="C574" s="204" t="s">
        <v>1105</v>
      </c>
      <c r="D574" s="204" t="s">
        <v>1105</v>
      </c>
      <c r="E574" s="4" t="s">
        <v>3855</v>
      </c>
      <c r="F574" s="204" t="s">
        <v>28</v>
      </c>
      <c r="G574" s="204"/>
      <c r="H574" s="204" t="s">
        <v>2276</v>
      </c>
      <c r="I574" s="204" t="s">
        <v>2276</v>
      </c>
      <c r="J574" s="204">
        <v>1</v>
      </c>
      <c r="K574" s="4" t="s">
        <v>7204</v>
      </c>
      <c r="L574" s="204" t="s">
        <v>2276</v>
      </c>
      <c r="M574" s="204" t="s">
        <v>2276</v>
      </c>
      <c r="N574" s="204"/>
    </row>
    <row r="575" spans="1:14" ht="40.5" customHeight="1">
      <c r="A575" s="19" t="s">
        <v>7131</v>
      </c>
      <c r="B575" s="19" t="s">
        <v>7205</v>
      </c>
      <c r="C575" s="204" t="s">
        <v>1105</v>
      </c>
      <c r="D575" s="204" t="s">
        <v>1105</v>
      </c>
      <c r="E575" s="4" t="s">
        <v>5801</v>
      </c>
      <c r="F575" s="4" t="s">
        <v>2662</v>
      </c>
      <c r="G575" s="204"/>
      <c r="H575" s="204" t="s">
        <v>2276</v>
      </c>
      <c r="I575" s="204" t="s">
        <v>2276</v>
      </c>
      <c r="J575" s="204">
        <v>0</v>
      </c>
      <c r="K575" s="4" t="s">
        <v>7206</v>
      </c>
      <c r="L575" s="204" t="s">
        <v>2276</v>
      </c>
      <c r="M575" s="204" t="s">
        <v>2276</v>
      </c>
      <c r="N575" s="204"/>
    </row>
    <row r="576" spans="1:14" ht="32.5" customHeight="1">
      <c r="A576" s="19" t="s">
        <v>7133</v>
      </c>
      <c r="B576" s="19" t="s">
        <v>7207</v>
      </c>
      <c r="C576" s="204" t="s">
        <v>1105</v>
      </c>
      <c r="D576" s="204" t="s">
        <v>1105</v>
      </c>
      <c r="E576" s="4" t="s">
        <v>5801</v>
      </c>
      <c r="F576" s="4" t="s">
        <v>2662</v>
      </c>
      <c r="G576" s="204"/>
      <c r="H576" s="204" t="s">
        <v>2276</v>
      </c>
      <c r="I576" s="204" t="s">
        <v>2276</v>
      </c>
      <c r="J576" s="204">
        <v>0</v>
      </c>
      <c r="K576" s="4" t="s">
        <v>7208</v>
      </c>
      <c r="L576" s="204" t="s">
        <v>2276</v>
      </c>
      <c r="M576" s="204" t="s">
        <v>2276</v>
      </c>
      <c r="N576" s="204"/>
    </row>
    <row r="577" spans="1:14" ht="32.5" customHeight="1">
      <c r="A577" s="19" t="s">
        <v>7134</v>
      </c>
      <c r="B577" s="19" t="s">
        <v>7209</v>
      </c>
      <c r="C577" s="204" t="s">
        <v>1105</v>
      </c>
      <c r="D577" s="204" t="s">
        <v>1105</v>
      </c>
      <c r="E577" s="4" t="s">
        <v>45</v>
      </c>
      <c r="F577" s="4" t="s">
        <v>2662</v>
      </c>
      <c r="G577" s="204"/>
      <c r="H577" s="204" t="s">
        <v>2276</v>
      </c>
      <c r="I577" s="204" t="s">
        <v>2276</v>
      </c>
      <c r="J577" s="204">
        <v>2</v>
      </c>
      <c r="K577" s="204" t="s">
        <v>7211</v>
      </c>
      <c r="L577" s="204" t="s">
        <v>2276</v>
      </c>
      <c r="M577" s="204" t="s">
        <v>2276</v>
      </c>
      <c r="N577" s="204"/>
    </row>
    <row r="578" spans="1:14" ht="32.5" customHeight="1">
      <c r="A578" s="19" t="s">
        <v>7134</v>
      </c>
      <c r="B578" s="19" t="s">
        <v>7210</v>
      </c>
      <c r="C578" s="204" t="s">
        <v>1105</v>
      </c>
      <c r="D578" s="204" t="s">
        <v>1105</v>
      </c>
      <c r="E578" s="4" t="s">
        <v>5801</v>
      </c>
      <c r="F578" s="4" t="s">
        <v>2662</v>
      </c>
      <c r="G578" s="204"/>
      <c r="H578" s="204" t="s">
        <v>2276</v>
      </c>
      <c r="I578" s="204" t="s">
        <v>2276</v>
      </c>
      <c r="J578" s="204">
        <v>0</v>
      </c>
      <c r="K578" s="204" t="s">
        <v>7212</v>
      </c>
      <c r="L578" s="204" t="s">
        <v>2276</v>
      </c>
      <c r="M578" s="204" t="s">
        <v>2276</v>
      </c>
      <c r="N578" s="204"/>
    </row>
    <row r="579" spans="1:14" ht="32.5" customHeight="1">
      <c r="A579" s="19" t="s">
        <v>7137</v>
      </c>
      <c r="B579" s="19" t="s">
        <v>7213</v>
      </c>
      <c r="C579" s="204" t="s">
        <v>1105</v>
      </c>
      <c r="D579" s="204" t="s">
        <v>1105</v>
      </c>
      <c r="E579" s="4" t="s">
        <v>5801</v>
      </c>
      <c r="F579" s="4" t="s">
        <v>2662</v>
      </c>
      <c r="G579" s="204"/>
      <c r="H579" s="204" t="s">
        <v>2276</v>
      </c>
      <c r="I579" s="204" t="s">
        <v>2276</v>
      </c>
      <c r="J579" s="204">
        <v>0</v>
      </c>
      <c r="K579" s="204" t="s">
        <v>7212</v>
      </c>
      <c r="L579" s="204" t="s">
        <v>2276</v>
      </c>
      <c r="M579" s="204" t="s">
        <v>2276</v>
      </c>
      <c r="N579" s="204"/>
    </row>
    <row r="580" spans="1:14" ht="29">
      <c r="A580" s="19" t="s">
        <v>7137</v>
      </c>
      <c r="B580" s="19" t="s">
        <v>7215</v>
      </c>
      <c r="C580" s="204" t="s">
        <v>1105</v>
      </c>
      <c r="D580" s="204" t="s">
        <v>1105</v>
      </c>
      <c r="E580" s="4" t="s">
        <v>45</v>
      </c>
      <c r="F580" s="4" t="s">
        <v>2662</v>
      </c>
      <c r="G580" s="204"/>
      <c r="H580" s="204" t="s">
        <v>2276</v>
      </c>
      <c r="I580" s="204" t="s">
        <v>2276</v>
      </c>
      <c r="J580" s="204">
        <v>2</v>
      </c>
      <c r="K580" s="4" t="s">
        <v>7214</v>
      </c>
      <c r="L580" s="204" t="s">
        <v>2276</v>
      </c>
      <c r="M580" s="204" t="s">
        <v>2276</v>
      </c>
      <c r="N580" s="204"/>
    </row>
    <row r="581" spans="1:14" ht="43" customHeight="1">
      <c r="A581" s="19" t="s">
        <v>7235</v>
      </c>
      <c r="B581" s="19" t="s">
        <v>7242</v>
      </c>
      <c r="C581" s="204" t="s">
        <v>24</v>
      </c>
      <c r="D581" s="204" t="s">
        <v>1242</v>
      </c>
      <c r="E581" s="4" t="s">
        <v>3209</v>
      </c>
      <c r="F581" s="4" t="s">
        <v>2662</v>
      </c>
      <c r="G581" s="152"/>
      <c r="H581" s="204" t="s">
        <v>2276</v>
      </c>
      <c r="I581" s="204" t="s">
        <v>2276</v>
      </c>
      <c r="J581" s="204">
        <v>1</v>
      </c>
      <c r="K581" s="19" t="s">
        <v>7245</v>
      </c>
      <c r="L581" s="204" t="s">
        <v>2276</v>
      </c>
      <c r="M581" s="204" t="s">
        <v>2276</v>
      </c>
      <c r="N581" s="4" t="s">
        <v>7267</v>
      </c>
    </row>
    <row r="582" spans="1:14" ht="53.5" customHeight="1">
      <c r="A582" s="19" t="s">
        <v>7238</v>
      </c>
      <c r="B582" s="19" t="s">
        <v>7252</v>
      </c>
      <c r="C582" s="204" t="s">
        <v>24</v>
      </c>
      <c r="D582" s="204" t="s">
        <v>2804</v>
      </c>
      <c r="E582" s="4" t="s">
        <v>45</v>
      </c>
      <c r="F582" s="4" t="s">
        <v>2662</v>
      </c>
      <c r="G582" s="204">
        <v>1990</v>
      </c>
      <c r="H582" s="204">
        <v>0</v>
      </c>
      <c r="I582" s="19" t="s">
        <v>7256</v>
      </c>
      <c r="J582" s="204" t="s">
        <v>2276</v>
      </c>
      <c r="K582" s="204" t="s">
        <v>2276</v>
      </c>
      <c r="L582" s="204" t="s">
        <v>2276</v>
      </c>
      <c r="M582" s="204" t="s">
        <v>2276</v>
      </c>
      <c r="N582" s="204"/>
    </row>
    <row r="583" spans="1:14" ht="67.5" customHeight="1">
      <c r="A583" s="19" t="s">
        <v>7238</v>
      </c>
      <c r="B583" s="19" t="s">
        <v>7254</v>
      </c>
      <c r="C583" s="204" t="s">
        <v>24</v>
      </c>
      <c r="D583" s="204" t="s">
        <v>2804</v>
      </c>
      <c r="E583" s="4" t="s">
        <v>45</v>
      </c>
      <c r="F583" s="4" t="s">
        <v>2662</v>
      </c>
      <c r="G583" s="204">
        <v>2000</v>
      </c>
      <c r="H583" s="204">
        <v>2</v>
      </c>
      <c r="I583" s="19" t="s">
        <v>7257</v>
      </c>
      <c r="J583" s="204" t="s">
        <v>2276</v>
      </c>
      <c r="K583" s="204" t="s">
        <v>2276</v>
      </c>
      <c r="L583" s="204" t="s">
        <v>2276</v>
      </c>
      <c r="M583" s="204" t="s">
        <v>2276</v>
      </c>
      <c r="N583" s="178"/>
    </row>
    <row r="584" spans="1:14" ht="32" customHeight="1">
      <c r="A584" s="19" t="s">
        <v>7239</v>
      </c>
      <c r="B584" s="19" t="s">
        <v>7253</v>
      </c>
      <c r="C584" s="204" t="s">
        <v>24</v>
      </c>
      <c r="D584" s="204" t="s">
        <v>2804</v>
      </c>
      <c r="E584" s="4" t="s">
        <v>45</v>
      </c>
      <c r="F584" s="4" t="s">
        <v>2662</v>
      </c>
      <c r="G584" s="204">
        <v>1980</v>
      </c>
      <c r="H584" s="204">
        <v>0</v>
      </c>
      <c r="I584" s="11" t="s">
        <v>7264</v>
      </c>
      <c r="J584" s="204" t="s">
        <v>2276</v>
      </c>
      <c r="K584" s="204" t="s">
        <v>2276</v>
      </c>
      <c r="L584" s="204" t="s">
        <v>2276</v>
      </c>
      <c r="M584" s="204" t="s">
        <v>2276</v>
      </c>
      <c r="N584" s="178"/>
    </row>
    <row r="585" spans="1:14" ht="32" customHeight="1">
      <c r="A585" s="19" t="s">
        <v>7239</v>
      </c>
      <c r="B585" s="19" t="s">
        <v>7260</v>
      </c>
      <c r="C585" s="204" t="s">
        <v>24</v>
      </c>
      <c r="D585" s="204" t="s">
        <v>2804</v>
      </c>
      <c r="E585" s="4" t="s">
        <v>45</v>
      </c>
      <c r="F585" s="4" t="s">
        <v>2662</v>
      </c>
      <c r="G585" s="204">
        <v>1990</v>
      </c>
      <c r="H585" s="204">
        <v>2</v>
      </c>
      <c r="I585" s="11" t="s">
        <v>7265</v>
      </c>
      <c r="J585" s="204" t="s">
        <v>2276</v>
      </c>
      <c r="K585" s="204" t="s">
        <v>2276</v>
      </c>
      <c r="L585" s="204" t="s">
        <v>2276</v>
      </c>
      <c r="M585" s="204" t="s">
        <v>2276</v>
      </c>
      <c r="N585" s="178"/>
    </row>
    <row r="586" spans="1:14" ht="32" customHeight="1">
      <c r="A586" s="19" t="s">
        <v>7239</v>
      </c>
      <c r="B586" s="19" t="s">
        <v>7261</v>
      </c>
      <c r="C586" s="204" t="s">
        <v>24</v>
      </c>
      <c r="D586" s="204" t="s">
        <v>2804</v>
      </c>
      <c r="E586" s="4" t="s">
        <v>3209</v>
      </c>
      <c r="F586" s="4" t="s">
        <v>2662</v>
      </c>
      <c r="G586" s="204"/>
      <c r="H586" s="204">
        <v>3</v>
      </c>
      <c r="I586" s="19" t="s">
        <v>7266</v>
      </c>
      <c r="J586" s="204" t="s">
        <v>2276</v>
      </c>
      <c r="K586" s="204" t="s">
        <v>2276</v>
      </c>
      <c r="L586" s="204" t="s">
        <v>2276</v>
      </c>
      <c r="M586" s="204" t="s">
        <v>2276</v>
      </c>
      <c r="N586" s="178"/>
    </row>
    <row r="587" spans="1:14" ht="29">
      <c r="A587" s="19" t="s">
        <v>7289</v>
      </c>
      <c r="B587" s="19" t="s">
        <v>7304</v>
      </c>
      <c r="C587" s="204" t="s">
        <v>1105</v>
      </c>
      <c r="D587" s="204" t="s">
        <v>1242</v>
      </c>
      <c r="E587" s="4" t="s">
        <v>3209</v>
      </c>
      <c r="F587" s="4" t="s">
        <v>2662</v>
      </c>
      <c r="G587" s="204"/>
      <c r="H587" s="204">
        <v>3</v>
      </c>
      <c r="I587" s="4" t="s">
        <v>7634</v>
      </c>
      <c r="J587" s="204">
        <v>1</v>
      </c>
      <c r="K587" s="11" t="s">
        <v>7632</v>
      </c>
      <c r="L587" s="204" t="s">
        <v>2276</v>
      </c>
      <c r="M587" s="204" t="s">
        <v>2276</v>
      </c>
    </row>
    <row r="588" spans="1:14" ht="29">
      <c r="A588" s="19" t="s">
        <v>7290</v>
      </c>
      <c r="B588" s="19" t="s">
        <v>7305</v>
      </c>
      <c r="C588" s="204" t="s">
        <v>1105</v>
      </c>
      <c r="D588" s="204" t="s">
        <v>1242</v>
      </c>
      <c r="E588" s="4" t="s">
        <v>3209</v>
      </c>
      <c r="F588" s="4" t="s">
        <v>2662</v>
      </c>
      <c r="G588" s="204"/>
      <c r="H588" s="204">
        <v>3</v>
      </c>
      <c r="I588" s="4" t="s">
        <v>7634</v>
      </c>
      <c r="J588" s="204">
        <v>1</v>
      </c>
      <c r="K588" s="11" t="s">
        <v>7632</v>
      </c>
      <c r="L588" s="204" t="s">
        <v>2276</v>
      </c>
      <c r="M588" s="204" t="s">
        <v>2276</v>
      </c>
    </row>
    <row r="589" spans="1:14" ht="29">
      <c r="A589" s="19" t="s">
        <v>7291</v>
      </c>
      <c r="B589" s="19" t="s">
        <v>7306</v>
      </c>
      <c r="C589" s="204" t="s">
        <v>1105</v>
      </c>
      <c r="D589" s="204" t="s">
        <v>1242</v>
      </c>
      <c r="E589" s="4" t="s">
        <v>3209</v>
      </c>
      <c r="F589" s="4" t="s">
        <v>2662</v>
      </c>
      <c r="G589" s="204"/>
      <c r="H589" s="204">
        <v>3</v>
      </c>
      <c r="I589" s="4" t="s">
        <v>7634</v>
      </c>
      <c r="J589" s="204">
        <v>2</v>
      </c>
      <c r="K589" s="11" t="s">
        <v>7633</v>
      </c>
      <c r="L589" s="204" t="s">
        <v>2276</v>
      </c>
      <c r="M589" s="204" t="s">
        <v>2276</v>
      </c>
    </row>
    <row r="590" spans="1:14" ht="29">
      <c r="A590" s="19" t="s">
        <v>7292</v>
      </c>
      <c r="B590" s="19" t="s">
        <v>7307</v>
      </c>
      <c r="C590" s="204" t="s">
        <v>1105</v>
      </c>
      <c r="D590" s="204" t="s">
        <v>1242</v>
      </c>
      <c r="E590" s="4" t="s">
        <v>3209</v>
      </c>
      <c r="F590" s="4" t="s">
        <v>2662</v>
      </c>
      <c r="G590" s="204"/>
      <c r="H590" s="204">
        <v>3</v>
      </c>
      <c r="I590" s="4" t="s">
        <v>7634</v>
      </c>
      <c r="J590" s="204">
        <v>2</v>
      </c>
      <c r="K590" s="11" t="s">
        <v>7633</v>
      </c>
      <c r="L590" s="204" t="s">
        <v>2276</v>
      </c>
      <c r="M590" s="204" t="s">
        <v>2276</v>
      </c>
    </row>
    <row r="591" spans="1:14" ht="29">
      <c r="A591" s="19" t="s">
        <v>7293</v>
      </c>
      <c r="B591" s="19" t="s">
        <v>7308</v>
      </c>
      <c r="C591" s="204" t="s">
        <v>1105</v>
      </c>
      <c r="D591" s="204" t="s">
        <v>1242</v>
      </c>
      <c r="E591" s="4" t="s">
        <v>3209</v>
      </c>
      <c r="F591" s="4" t="s">
        <v>2662</v>
      </c>
      <c r="G591" s="204"/>
      <c r="H591" s="204">
        <v>3</v>
      </c>
      <c r="I591" s="4" t="s">
        <v>7634</v>
      </c>
      <c r="J591" s="204">
        <v>1</v>
      </c>
      <c r="K591" s="11" t="s">
        <v>7632</v>
      </c>
      <c r="L591" s="204" t="s">
        <v>2276</v>
      </c>
      <c r="M591" s="204" t="s">
        <v>2276</v>
      </c>
    </row>
    <row r="592" spans="1:14" ht="29">
      <c r="A592" s="19" t="s">
        <v>7294</v>
      </c>
      <c r="B592" s="19" t="s">
        <v>7414</v>
      </c>
      <c r="C592" s="204" t="s">
        <v>1105</v>
      </c>
      <c r="D592" s="204" t="s">
        <v>1242</v>
      </c>
      <c r="E592" s="4" t="s">
        <v>3209</v>
      </c>
      <c r="F592" s="4" t="s">
        <v>2662</v>
      </c>
      <c r="G592" s="204"/>
      <c r="H592" s="204">
        <v>3</v>
      </c>
      <c r="I592" s="4" t="s">
        <v>7634</v>
      </c>
      <c r="J592" s="204">
        <v>1</v>
      </c>
      <c r="K592" s="11" t="s">
        <v>7632</v>
      </c>
      <c r="L592" s="204" t="s">
        <v>2276</v>
      </c>
      <c r="M592" s="204" t="s">
        <v>2276</v>
      </c>
    </row>
    <row r="593" spans="1:13" ht="29">
      <c r="A593" s="19" t="s">
        <v>7380</v>
      </c>
      <c r="B593" s="19" t="s">
        <v>7415</v>
      </c>
      <c r="C593" s="204" t="s">
        <v>1105</v>
      </c>
      <c r="D593" s="204" t="s">
        <v>1242</v>
      </c>
      <c r="E593" s="4" t="s">
        <v>3209</v>
      </c>
      <c r="F593" s="4" t="s">
        <v>2662</v>
      </c>
      <c r="G593" s="204"/>
      <c r="H593" s="204">
        <v>3</v>
      </c>
      <c r="I593" s="4" t="s">
        <v>7634</v>
      </c>
      <c r="J593" s="204">
        <v>1</v>
      </c>
      <c r="K593" s="11" t="s">
        <v>7632</v>
      </c>
      <c r="L593" s="204" t="s">
        <v>2276</v>
      </c>
      <c r="M593" s="204" t="s">
        <v>2276</v>
      </c>
    </row>
    <row r="594" spans="1:13" ht="29">
      <c r="A594" s="19" t="s">
        <v>7381</v>
      </c>
      <c r="B594" s="19" t="s">
        <v>7416</v>
      </c>
      <c r="C594" s="204" t="s">
        <v>1105</v>
      </c>
      <c r="D594" s="204" t="s">
        <v>1242</v>
      </c>
      <c r="E594" s="4" t="s">
        <v>3209</v>
      </c>
      <c r="F594" s="4" t="s">
        <v>2662</v>
      </c>
      <c r="G594" s="204"/>
      <c r="H594" s="204">
        <v>3</v>
      </c>
      <c r="I594" s="4" t="s">
        <v>7634</v>
      </c>
      <c r="J594" s="204">
        <v>1</v>
      </c>
      <c r="K594" s="11" t="s">
        <v>7632</v>
      </c>
      <c r="L594" s="204" t="s">
        <v>2276</v>
      </c>
      <c r="M594" s="204" t="s">
        <v>2276</v>
      </c>
    </row>
    <row r="595" spans="1:13" ht="29">
      <c r="A595" s="19" t="s">
        <v>7382</v>
      </c>
      <c r="B595" s="19" t="s">
        <v>7417</v>
      </c>
      <c r="C595" s="204" t="s">
        <v>1105</v>
      </c>
      <c r="D595" s="204" t="s">
        <v>1242</v>
      </c>
      <c r="E595" s="4" t="s">
        <v>3209</v>
      </c>
      <c r="F595" s="4" t="s">
        <v>2662</v>
      </c>
      <c r="G595" s="204"/>
      <c r="H595" s="204">
        <v>3</v>
      </c>
      <c r="I595" s="4" t="s">
        <v>7634</v>
      </c>
      <c r="J595" s="204">
        <v>1</v>
      </c>
      <c r="K595" s="11" t="s">
        <v>7632</v>
      </c>
      <c r="L595" s="204" t="s">
        <v>2276</v>
      </c>
      <c r="M595" s="204" t="s">
        <v>2276</v>
      </c>
    </row>
    <row r="596" spans="1:13" ht="29">
      <c r="A596" s="19" t="s">
        <v>7383</v>
      </c>
      <c r="B596" s="19" t="s">
        <v>7418</v>
      </c>
      <c r="C596" s="204" t="s">
        <v>1105</v>
      </c>
      <c r="D596" s="204" t="s">
        <v>1242</v>
      </c>
      <c r="E596" s="4" t="s">
        <v>3209</v>
      </c>
      <c r="F596" s="4" t="s">
        <v>2662</v>
      </c>
      <c r="G596" s="204"/>
      <c r="H596" s="204">
        <v>3</v>
      </c>
      <c r="I596" s="4" t="s">
        <v>7634</v>
      </c>
      <c r="J596" s="204">
        <v>1</v>
      </c>
      <c r="K596" s="11" t="s">
        <v>7632</v>
      </c>
      <c r="L596" s="204" t="s">
        <v>2276</v>
      </c>
      <c r="M596" s="204" t="s">
        <v>2276</v>
      </c>
    </row>
    <row r="597" spans="1:13" ht="29">
      <c r="A597" s="19" t="s">
        <v>7384</v>
      </c>
      <c r="B597" s="19" t="s">
        <v>7419</v>
      </c>
      <c r="C597" s="204" t="s">
        <v>1105</v>
      </c>
      <c r="D597" s="204" t="s">
        <v>1242</v>
      </c>
      <c r="E597" s="4" t="s">
        <v>3209</v>
      </c>
      <c r="F597" s="4" t="s">
        <v>2662</v>
      </c>
      <c r="G597" s="204"/>
      <c r="H597" s="204">
        <v>3</v>
      </c>
      <c r="I597" s="4" t="s">
        <v>7634</v>
      </c>
      <c r="J597" s="204">
        <v>1</v>
      </c>
      <c r="K597" s="11" t="s">
        <v>7632</v>
      </c>
      <c r="L597" s="204" t="s">
        <v>2276</v>
      </c>
      <c r="M597" s="204" t="s">
        <v>2276</v>
      </c>
    </row>
    <row r="598" spans="1:13" ht="29">
      <c r="A598" s="19" t="s">
        <v>7385</v>
      </c>
      <c r="B598" s="19" t="s">
        <v>7420</v>
      </c>
      <c r="C598" s="204" t="s">
        <v>1105</v>
      </c>
      <c r="D598" s="204" t="s">
        <v>1242</v>
      </c>
      <c r="E598" s="4" t="s">
        <v>3209</v>
      </c>
      <c r="F598" s="4" t="s">
        <v>2662</v>
      </c>
      <c r="G598" s="204"/>
      <c r="H598" s="204">
        <v>3</v>
      </c>
      <c r="I598" s="4" t="s">
        <v>7634</v>
      </c>
      <c r="J598" s="204">
        <v>1</v>
      </c>
      <c r="K598" s="11" t="s">
        <v>7632</v>
      </c>
      <c r="L598" s="204" t="s">
        <v>2276</v>
      </c>
      <c r="M598" s="204" t="s">
        <v>2276</v>
      </c>
    </row>
    <row r="599" spans="1:13" ht="29">
      <c r="A599" s="19" t="s">
        <v>7386</v>
      </c>
      <c r="B599" s="19" t="s">
        <v>7421</v>
      </c>
      <c r="C599" s="204" t="s">
        <v>1105</v>
      </c>
      <c r="D599" s="204" t="s">
        <v>1242</v>
      </c>
      <c r="E599" s="4" t="s">
        <v>3209</v>
      </c>
      <c r="F599" s="4" t="s">
        <v>2662</v>
      </c>
      <c r="G599" s="204"/>
      <c r="H599" s="204">
        <v>3</v>
      </c>
      <c r="I599" s="4" t="s">
        <v>7634</v>
      </c>
      <c r="J599" s="204">
        <v>1</v>
      </c>
      <c r="K599" s="11" t="s">
        <v>7632</v>
      </c>
      <c r="L599" s="204" t="s">
        <v>2276</v>
      </c>
      <c r="M599" s="204" t="s">
        <v>2276</v>
      </c>
    </row>
    <row r="600" spans="1:13" ht="29">
      <c r="A600" s="19" t="s">
        <v>7387</v>
      </c>
      <c r="B600" s="19" t="s">
        <v>7422</v>
      </c>
      <c r="C600" s="204" t="s">
        <v>1105</v>
      </c>
      <c r="D600" s="204" t="s">
        <v>1242</v>
      </c>
      <c r="E600" s="4" t="s">
        <v>3209</v>
      </c>
      <c r="F600" s="4" t="s">
        <v>2662</v>
      </c>
      <c r="G600" s="204"/>
      <c r="H600" s="204">
        <v>3</v>
      </c>
      <c r="I600" s="4" t="s">
        <v>7634</v>
      </c>
      <c r="J600" s="204">
        <v>1</v>
      </c>
      <c r="K600" s="11" t="s">
        <v>7632</v>
      </c>
      <c r="L600" s="204" t="s">
        <v>2276</v>
      </c>
      <c r="M600" s="204" t="s">
        <v>2276</v>
      </c>
    </row>
    <row r="601" spans="1:13" ht="29">
      <c r="A601" s="19" t="s">
        <v>7388</v>
      </c>
      <c r="B601" s="19" t="s">
        <v>7423</v>
      </c>
      <c r="C601" s="204" t="s">
        <v>1105</v>
      </c>
      <c r="D601" s="204" t="s">
        <v>1242</v>
      </c>
      <c r="E601" s="4" t="s">
        <v>3209</v>
      </c>
      <c r="F601" s="4" t="s">
        <v>2662</v>
      </c>
      <c r="G601" s="204"/>
      <c r="H601" s="204">
        <v>3</v>
      </c>
      <c r="I601" s="4" t="s">
        <v>7634</v>
      </c>
      <c r="J601" s="204">
        <v>2</v>
      </c>
      <c r="K601" s="11" t="s">
        <v>7633</v>
      </c>
      <c r="L601" s="204" t="s">
        <v>2276</v>
      </c>
      <c r="M601" s="204" t="s">
        <v>2276</v>
      </c>
    </row>
    <row r="602" spans="1:13" ht="29">
      <c r="A602" s="19" t="s">
        <v>7389</v>
      </c>
      <c r="B602" s="19" t="s">
        <v>7424</v>
      </c>
      <c r="C602" s="204" t="s">
        <v>1105</v>
      </c>
      <c r="D602" s="204" t="s">
        <v>1242</v>
      </c>
      <c r="E602" s="4" t="s">
        <v>3209</v>
      </c>
      <c r="F602" s="4" t="s">
        <v>2662</v>
      </c>
      <c r="G602" s="204"/>
      <c r="H602" s="204">
        <v>3</v>
      </c>
      <c r="I602" s="4" t="s">
        <v>7634</v>
      </c>
      <c r="J602" s="204">
        <v>1</v>
      </c>
      <c r="K602" s="11" t="s">
        <v>7632</v>
      </c>
      <c r="L602" s="204" t="s">
        <v>2276</v>
      </c>
      <c r="M602" s="204" t="s">
        <v>2276</v>
      </c>
    </row>
    <row r="603" spans="1:13" ht="29">
      <c r="A603" s="19" t="s">
        <v>7390</v>
      </c>
      <c r="B603" s="19" t="s">
        <v>7425</v>
      </c>
      <c r="C603" s="204" t="s">
        <v>1105</v>
      </c>
      <c r="D603" s="204" t="s">
        <v>1242</v>
      </c>
      <c r="E603" s="4" t="s">
        <v>3209</v>
      </c>
      <c r="F603" s="4" t="s">
        <v>2662</v>
      </c>
      <c r="G603" s="204"/>
      <c r="H603" s="204">
        <v>3</v>
      </c>
      <c r="I603" s="4" t="s">
        <v>7634</v>
      </c>
      <c r="J603" s="204">
        <v>1</v>
      </c>
      <c r="K603" s="11" t="s">
        <v>7632</v>
      </c>
      <c r="L603" s="204" t="s">
        <v>2276</v>
      </c>
      <c r="M603" s="204" t="s">
        <v>2276</v>
      </c>
    </row>
    <row r="604" spans="1:13" ht="29">
      <c r="A604" s="19" t="s">
        <v>7391</v>
      </c>
      <c r="B604" s="19" t="s">
        <v>7426</v>
      </c>
      <c r="C604" s="204" t="s">
        <v>1105</v>
      </c>
      <c r="D604" s="204" t="s">
        <v>1242</v>
      </c>
      <c r="E604" s="4" t="s">
        <v>3209</v>
      </c>
      <c r="F604" s="4" t="s">
        <v>2662</v>
      </c>
      <c r="G604" s="204"/>
      <c r="H604" s="204">
        <v>3</v>
      </c>
      <c r="I604" s="4" t="s">
        <v>7634</v>
      </c>
      <c r="J604" s="204">
        <v>1</v>
      </c>
      <c r="K604" s="11" t="s">
        <v>7632</v>
      </c>
      <c r="L604" s="204" t="s">
        <v>2276</v>
      </c>
      <c r="M604" s="204" t="s">
        <v>2276</v>
      </c>
    </row>
    <row r="605" spans="1:13" ht="29">
      <c r="A605" s="19" t="s">
        <v>7392</v>
      </c>
      <c r="B605" s="19" t="s">
        <v>7427</v>
      </c>
      <c r="C605" s="204" t="s">
        <v>1105</v>
      </c>
      <c r="D605" s="204" t="s">
        <v>1242</v>
      </c>
      <c r="E605" s="4" t="s">
        <v>3209</v>
      </c>
      <c r="F605" s="4" t="s">
        <v>2662</v>
      </c>
      <c r="G605" s="204"/>
      <c r="H605" s="204">
        <v>3</v>
      </c>
      <c r="I605" s="4" t="s">
        <v>7634</v>
      </c>
      <c r="J605" s="204">
        <v>1</v>
      </c>
      <c r="K605" s="11" t="s">
        <v>7632</v>
      </c>
      <c r="L605" s="204" t="s">
        <v>2276</v>
      </c>
      <c r="M605" s="204" t="s">
        <v>2276</v>
      </c>
    </row>
    <row r="606" spans="1:13" ht="29">
      <c r="A606" s="19" t="s">
        <v>7393</v>
      </c>
      <c r="B606" s="19" t="s">
        <v>7428</v>
      </c>
      <c r="C606" s="204" t="s">
        <v>1105</v>
      </c>
      <c r="D606" s="204" t="s">
        <v>1242</v>
      </c>
      <c r="E606" s="4" t="s">
        <v>3209</v>
      </c>
      <c r="F606" s="4" t="s">
        <v>2662</v>
      </c>
      <c r="G606" s="204"/>
      <c r="H606" s="204">
        <v>3</v>
      </c>
      <c r="I606" s="4" t="s">
        <v>7634</v>
      </c>
      <c r="J606" s="204">
        <v>1</v>
      </c>
      <c r="K606" s="11" t="s">
        <v>7632</v>
      </c>
      <c r="L606" s="204" t="s">
        <v>2276</v>
      </c>
      <c r="M606" s="204" t="s">
        <v>2276</v>
      </c>
    </row>
    <row r="607" spans="1:13" ht="29">
      <c r="A607" s="19" t="s">
        <v>7394</v>
      </c>
      <c r="B607" s="19" t="s">
        <v>7429</v>
      </c>
      <c r="C607" s="204" t="s">
        <v>1105</v>
      </c>
      <c r="D607" s="204" t="s">
        <v>1242</v>
      </c>
      <c r="E607" s="4" t="s">
        <v>3209</v>
      </c>
      <c r="F607" s="4" t="s">
        <v>2662</v>
      </c>
      <c r="G607" s="204"/>
      <c r="H607" s="204">
        <v>3</v>
      </c>
      <c r="I607" s="4" t="s">
        <v>7634</v>
      </c>
      <c r="J607" s="204">
        <v>2</v>
      </c>
      <c r="K607" s="11" t="s">
        <v>7633</v>
      </c>
      <c r="L607" s="204" t="s">
        <v>2276</v>
      </c>
      <c r="M607" s="204" t="s">
        <v>2276</v>
      </c>
    </row>
    <row r="608" spans="1:13" ht="29">
      <c r="A608" s="19" t="s">
        <v>7395</v>
      </c>
      <c r="B608" s="19" t="s">
        <v>7430</v>
      </c>
      <c r="C608" s="204" t="s">
        <v>1105</v>
      </c>
      <c r="D608" s="204" t="s">
        <v>1242</v>
      </c>
      <c r="E608" s="4" t="s">
        <v>3209</v>
      </c>
      <c r="F608" s="4" t="s">
        <v>2662</v>
      </c>
      <c r="G608" s="204"/>
      <c r="H608" s="204">
        <v>3</v>
      </c>
      <c r="I608" s="4" t="s">
        <v>7634</v>
      </c>
      <c r="J608" s="204">
        <v>2</v>
      </c>
      <c r="K608" s="11" t="s">
        <v>7633</v>
      </c>
      <c r="L608" s="204" t="s">
        <v>2276</v>
      </c>
      <c r="M608" s="204" t="s">
        <v>2276</v>
      </c>
    </row>
    <row r="609" spans="1:13" ht="29">
      <c r="A609" s="19" t="s">
        <v>7396</v>
      </c>
      <c r="B609" s="19" t="s">
        <v>7431</v>
      </c>
      <c r="C609" s="204" t="s">
        <v>1105</v>
      </c>
      <c r="D609" s="204" t="s">
        <v>1242</v>
      </c>
      <c r="E609" s="4" t="s">
        <v>3209</v>
      </c>
      <c r="F609" s="4" t="s">
        <v>2662</v>
      </c>
      <c r="G609" s="204"/>
      <c r="H609" s="204">
        <v>3</v>
      </c>
      <c r="I609" s="4" t="s">
        <v>7634</v>
      </c>
      <c r="J609" s="204">
        <v>2</v>
      </c>
      <c r="K609" s="11" t="s">
        <v>7633</v>
      </c>
      <c r="L609" s="204" t="s">
        <v>2276</v>
      </c>
      <c r="M609" s="204" t="s">
        <v>2276</v>
      </c>
    </row>
    <row r="610" spans="1:13" ht="29">
      <c r="A610" s="19" t="s">
        <v>7595</v>
      </c>
      <c r="B610" s="19" t="s">
        <v>7596</v>
      </c>
      <c r="C610" s="204" t="s">
        <v>1105</v>
      </c>
      <c r="D610" s="204" t="s">
        <v>1242</v>
      </c>
      <c r="E610" s="4" t="s">
        <v>3209</v>
      </c>
      <c r="F610" s="4" t="s">
        <v>2662</v>
      </c>
      <c r="G610" s="204"/>
      <c r="H610" s="204">
        <v>3</v>
      </c>
      <c r="I610" s="4" t="s">
        <v>7634</v>
      </c>
      <c r="J610" s="204">
        <v>1</v>
      </c>
      <c r="K610" s="11" t="s">
        <v>7632</v>
      </c>
      <c r="L610" s="204" t="s">
        <v>2276</v>
      </c>
      <c r="M610" s="204" t="s">
        <v>2276</v>
      </c>
    </row>
    <row r="611" spans="1:13" ht="29">
      <c r="A611" s="19" t="s">
        <v>7617</v>
      </c>
      <c r="B611" s="19" t="s">
        <v>7618</v>
      </c>
      <c r="C611" s="204" t="s">
        <v>1105</v>
      </c>
      <c r="D611" s="204" t="s">
        <v>1242</v>
      </c>
      <c r="E611" s="4" t="s">
        <v>3209</v>
      </c>
      <c r="F611" s="4" t="s">
        <v>2662</v>
      </c>
      <c r="G611" s="204"/>
      <c r="H611" s="204">
        <v>3</v>
      </c>
      <c r="I611" s="4" t="s">
        <v>7634</v>
      </c>
      <c r="J611" s="204">
        <v>1</v>
      </c>
      <c r="K611" s="11" t="s">
        <v>7632</v>
      </c>
      <c r="L611" s="204" t="s">
        <v>2276</v>
      </c>
      <c r="M611" s="204" t="s">
        <v>2276</v>
      </c>
    </row>
    <row r="612" spans="1:13" ht="31.5" customHeight="1">
      <c r="A612" s="19" t="s">
        <v>7289</v>
      </c>
      <c r="B612" s="19" t="s">
        <v>7310</v>
      </c>
      <c r="C612" s="204" t="s">
        <v>1105</v>
      </c>
      <c r="D612" s="204" t="s">
        <v>1242</v>
      </c>
      <c r="E612" s="4" t="s">
        <v>3209</v>
      </c>
      <c r="F612" s="4" t="s">
        <v>74</v>
      </c>
      <c r="G612" s="204"/>
      <c r="H612" s="204">
        <v>3</v>
      </c>
      <c r="I612" s="4" t="s">
        <v>7634</v>
      </c>
      <c r="J612" s="204">
        <v>1</v>
      </c>
      <c r="K612" s="11" t="s">
        <v>7632</v>
      </c>
      <c r="L612" s="204" t="s">
        <v>2276</v>
      </c>
      <c r="M612" s="204" t="s">
        <v>2276</v>
      </c>
    </row>
    <row r="613" spans="1:13" ht="31.5" customHeight="1">
      <c r="A613" s="19" t="s">
        <v>7290</v>
      </c>
      <c r="B613" s="19" t="s">
        <v>7311</v>
      </c>
      <c r="C613" s="204" t="s">
        <v>1105</v>
      </c>
      <c r="D613" s="204" t="s">
        <v>1242</v>
      </c>
      <c r="E613" s="4" t="s">
        <v>3209</v>
      </c>
      <c r="F613" s="4" t="s">
        <v>74</v>
      </c>
      <c r="G613" s="204"/>
      <c r="H613" s="204">
        <v>3</v>
      </c>
      <c r="I613" s="4" t="s">
        <v>7634</v>
      </c>
      <c r="J613" s="204">
        <v>1</v>
      </c>
      <c r="K613" s="11" t="s">
        <v>7632</v>
      </c>
      <c r="L613" s="204" t="s">
        <v>2276</v>
      </c>
      <c r="M613" s="204" t="s">
        <v>2276</v>
      </c>
    </row>
    <row r="614" spans="1:13" ht="31.5" customHeight="1">
      <c r="A614" s="19" t="s">
        <v>7291</v>
      </c>
      <c r="B614" s="19" t="s">
        <v>7312</v>
      </c>
      <c r="C614" s="204" t="s">
        <v>1105</v>
      </c>
      <c r="D614" s="204" t="s">
        <v>1242</v>
      </c>
      <c r="E614" s="4" t="s">
        <v>3209</v>
      </c>
      <c r="F614" s="4" t="s">
        <v>74</v>
      </c>
      <c r="G614" s="204"/>
      <c r="H614" s="204">
        <v>3</v>
      </c>
      <c r="I614" s="4" t="s">
        <v>7634</v>
      </c>
      <c r="J614" s="204">
        <v>2</v>
      </c>
      <c r="K614" s="11" t="s">
        <v>7633</v>
      </c>
      <c r="L614" s="204" t="s">
        <v>2276</v>
      </c>
      <c r="M614" s="204" t="s">
        <v>2276</v>
      </c>
    </row>
    <row r="615" spans="1:13" ht="31.5" customHeight="1">
      <c r="A615" s="19" t="s">
        <v>7292</v>
      </c>
      <c r="B615" s="19" t="s">
        <v>7313</v>
      </c>
      <c r="C615" s="204" t="s">
        <v>1105</v>
      </c>
      <c r="D615" s="204" t="s">
        <v>1242</v>
      </c>
      <c r="E615" s="4" t="s">
        <v>3209</v>
      </c>
      <c r="F615" s="4" t="s">
        <v>74</v>
      </c>
      <c r="G615" s="204"/>
      <c r="H615" s="204">
        <v>3</v>
      </c>
      <c r="I615" s="4" t="s">
        <v>7634</v>
      </c>
      <c r="J615" s="204">
        <v>2</v>
      </c>
      <c r="K615" s="11" t="s">
        <v>7633</v>
      </c>
      <c r="L615" s="204" t="s">
        <v>2276</v>
      </c>
      <c r="M615" s="204" t="s">
        <v>2276</v>
      </c>
    </row>
    <row r="616" spans="1:13" ht="31.5" customHeight="1">
      <c r="A616" s="19" t="s">
        <v>7293</v>
      </c>
      <c r="B616" s="19" t="s">
        <v>7314</v>
      </c>
      <c r="C616" s="204" t="s">
        <v>1105</v>
      </c>
      <c r="D616" s="204" t="s">
        <v>1242</v>
      </c>
      <c r="E616" s="4" t="s">
        <v>3209</v>
      </c>
      <c r="F616" s="4" t="s">
        <v>74</v>
      </c>
      <c r="G616" s="204"/>
      <c r="H616" s="204">
        <v>3</v>
      </c>
      <c r="I616" s="4" t="s">
        <v>7634</v>
      </c>
      <c r="J616" s="204">
        <v>1</v>
      </c>
      <c r="K616" s="11" t="s">
        <v>7632</v>
      </c>
      <c r="L616" s="204" t="s">
        <v>2276</v>
      </c>
      <c r="M616" s="204" t="s">
        <v>2276</v>
      </c>
    </row>
    <row r="617" spans="1:13" ht="31.5" customHeight="1">
      <c r="A617" s="19" t="s">
        <v>7294</v>
      </c>
      <c r="B617" s="19" t="s">
        <v>7432</v>
      </c>
      <c r="C617" s="204" t="s">
        <v>1105</v>
      </c>
      <c r="D617" s="204" t="s">
        <v>1242</v>
      </c>
      <c r="E617" s="4" t="s">
        <v>3209</v>
      </c>
      <c r="F617" s="4" t="s">
        <v>74</v>
      </c>
      <c r="G617" s="204"/>
      <c r="H617" s="204">
        <v>3</v>
      </c>
      <c r="I617" s="4" t="s">
        <v>7634</v>
      </c>
      <c r="J617" s="204">
        <v>1</v>
      </c>
      <c r="K617" s="11" t="s">
        <v>7632</v>
      </c>
      <c r="L617" s="204" t="s">
        <v>2276</v>
      </c>
      <c r="M617" s="204" t="s">
        <v>2276</v>
      </c>
    </row>
    <row r="618" spans="1:13" ht="31.5" customHeight="1">
      <c r="A618" s="19" t="s">
        <v>7380</v>
      </c>
      <c r="B618" s="19" t="s">
        <v>7433</v>
      </c>
      <c r="C618" s="204" t="s">
        <v>1105</v>
      </c>
      <c r="D618" s="204" t="s">
        <v>1242</v>
      </c>
      <c r="E618" s="4" t="s">
        <v>3209</v>
      </c>
      <c r="F618" s="4" t="s">
        <v>74</v>
      </c>
      <c r="G618" s="204"/>
      <c r="H618" s="204">
        <v>3</v>
      </c>
      <c r="I618" s="4" t="s">
        <v>7634</v>
      </c>
      <c r="J618" s="204">
        <v>1</v>
      </c>
      <c r="K618" s="11" t="s">
        <v>7632</v>
      </c>
      <c r="L618" s="204" t="s">
        <v>2276</v>
      </c>
      <c r="M618" s="204" t="s">
        <v>2276</v>
      </c>
    </row>
    <row r="619" spans="1:13" ht="31.5" customHeight="1">
      <c r="A619" s="19" t="s">
        <v>7381</v>
      </c>
      <c r="B619" s="19" t="s">
        <v>7434</v>
      </c>
      <c r="C619" s="204" t="s">
        <v>1105</v>
      </c>
      <c r="D619" s="204" t="s">
        <v>1242</v>
      </c>
      <c r="E619" s="4" t="s">
        <v>3209</v>
      </c>
      <c r="F619" s="4" t="s">
        <v>74</v>
      </c>
      <c r="G619" s="204"/>
      <c r="H619" s="204">
        <v>3</v>
      </c>
      <c r="I619" s="4" t="s">
        <v>7634</v>
      </c>
      <c r="J619" s="204">
        <v>1</v>
      </c>
      <c r="K619" s="11" t="s">
        <v>7632</v>
      </c>
      <c r="L619" s="204" t="s">
        <v>2276</v>
      </c>
      <c r="M619" s="204" t="s">
        <v>2276</v>
      </c>
    </row>
    <row r="620" spans="1:13" ht="31.5" customHeight="1">
      <c r="A620" s="19" t="s">
        <v>7382</v>
      </c>
      <c r="B620" s="19" t="s">
        <v>7435</v>
      </c>
      <c r="C620" s="204" t="s">
        <v>1105</v>
      </c>
      <c r="D620" s="204" t="s">
        <v>1242</v>
      </c>
      <c r="E620" s="4" t="s">
        <v>3209</v>
      </c>
      <c r="F620" s="4" t="s">
        <v>74</v>
      </c>
      <c r="G620" s="204"/>
      <c r="H620" s="204">
        <v>3</v>
      </c>
      <c r="I620" s="4" t="s">
        <v>7634</v>
      </c>
      <c r="J620" s="204">
        <v>1</v>
      </c>
      <c r="K620" s="11" t="s">
        <v>7632</v>
      </c>
      <c r="L620" s="204" t="s">
        <v>2276</v>
      </c>
      <c r="M620" s="204" t="s">
        <v>2276</v>
      </c>
    </row>
    <row r="621" spans="1:13" ht="31.5" customHeight="1">
      <c r="A621" s="19" t="s">
        <v>7383</v>
      </c>
      <c r="B621" s="19" t="s">
        <v>7436</v>
      </c>
      <c r="C621" s="204" t="s">
        <v>1105</v>
      </c>
      <c r="D621" s="204" t="s">
        <v>1242</v>
      </c>
      <c r="E621" s="4" t="s">
        <v>3209</v>
      </c>
      <c r="F621" s="4" t="s">
        <v>74</v>
      </c>
      <c r="G621" s="204"/>
      <c r="H621" s="204">
        <v>3</v>
      </c>
      <c r="I621" s="4" t="s">
        <v>7634</v>
      </c>
      <c r="J621" s="204">
        <v>1</v>
      </c>
      <c r="K621" s="11" t="s">
        <v>7632</v>
      </c>
      <c r="L621" s="204" t="s">
        <v>2276</v>
      </c>
      <c r="M621" s="204" t="s">
        <v>2276</v>
      </c>
    </row>
    <row r="622" spans="1:13" ht="31.5" customHeight="1">
      <c r="A622" s="19" t="s">
        <v>7384</v>
      </c>
      <c r="B622" s="19" t="s">
        <v>7437</v>
      </c>
      <c r="C622" s="204" t="s">
        <v>1105</v>
      </c>
      <c r="D622" s="204" t="s">
        <v>1242</v>
      </c>
      <c r="E622" s="4" t="s">
        <v>3209</v>
      </c>
      <c r="F622" s="4" t="s">
        <v>74</v>
      </c>
      <c r="G622" s="204"/>
      <c r="H622" s="204">
        <v>3</v>
      </c>
      <c r="I622" s="4" t="s">
        <v>7634</v>
      </c>
      <c r="J622" s="204">
        <v>1</v>
      </c>
      <c r="K622" s="11" t="s">
        <v>7632</v>
      </c>
      <c r="L622" s="204" t="s">
        <v>2276</v>
      </c>
      <c r="M622" s="204" t="s">
        <v>2276</v>
      </c>
    </row>
    <row r="623" spans="1:13" ht="31.5" customHeight="1">
      <c r="A623" s="19" t="s">
        <v>7385</v>
      </c>
      <c r="B623" s="19" t="s">
        <v>7438</v>
      </c>
      <c r="C623" s="204" t="s">
        <v>1105</v>
      </c>
      <c r="D623" s="204" t="s">
        <v>1242</v>
      </c>
      <c r="E623" s="4" t="s">
        <v>3209</v>
      </c>
      <c r="F623" s="4" t="s">
        <v>74</v>
      </c>
      <c r="G623" s="204"/>
      <c r="H623" s="204">
        <v>3</v>
      </c>
      <c r="I623" s="4" t="s">
        <v>7634</v>
      </c>
      <c r="J623" s="204">
        <v>1</v>
      </c>
      <c r="K623" s="11" t="s">
        <v>7632</v>
      </c>
      <c r="L623" s="204" t="s">
        <v>2276</v>
      </c>
      <c r="M623" s="204" t="s">
        <v>2276</v>
      </c>
    </row>
    <row r="624" spans="1:13" ht="31.5" customHeight="1">
      <c r="A624" s="19" t="s">
        <v>7386</v>
      </c>
      <c r="B624" s="19" t="s">
        <v>7439</v>
      </c>
      <c r="C624" s="204" t="s">
        <v>1105</v>
      </c>
      <c r="D624" s="204" t="s">
        <v>1242</v>
      </c>
      <c r="E624" s="4" t="s">
        <v>3209</v>
      </c>
      <c r="F624" s="4" t="s">
        <v>74</v>
      </c>
      <c r="G624" s="204"/>
      <c r="H624" s="204">
        <v>3</v>
      </c>
      <c r="I624" s="4" t="s">
        <v>7634</v>
      </c>
      <c r="J624" s="204">
        <v>1</v>
      </c>
      <c r="K624" s="11" t="s">
        <v>7632</v>
      </c>
      <c r="L624" s="204" t="s">
        <v>2276</v>
      </c>
      <c r="M624" s="204" t="s">
        <v>2276</v>
      </c>
    </row>
    <row r="625" spans="1:14" ht="31.5" customHeight="1">
      <c r="A625" s="19" t="s">
        <v>7387</v>
      </c>
      <c r="B625" s="19" t="s">
        <v>7440</v>
      </c>
      <c r="C625" s="204" t="s">
        <v>1105</v>
      </c>
      <c r="D625" s="204" t="s">
        <v>1242</v>
      </c>
      <c r="E625" s="4" t="s">
        <v>3209</v>
      </c>
      <c r="F625" s="4" t="s">
        <v>74</v>
      </c>
      <c r="G625" s="204"/>
      <c r="H625" s="204">
        <v>3</v>
      </c>
      <c r="I625" s="4" t="s">
        <v>7634</v>
      </c>
      <c r="J625" s="204">
        <v>1</v>
      </c>
      <c r="K625" s="11" t="s">
        <v>7632</v>
      </c>
      <c r="L625" s="204" t="s">
        <v>2276</v>
      </c>
      <c r="M625" s="204" t="s">
        <v>2276</v>
      </c>
    </row>
    <row r="626" spans="1:14" ht="31.5" customHeight="1">
      <c r="A626" s="19" t="s">
        <v>7388</v>
      </c>
      <c r="B626" s="19" t="s">
        <v>7441</v>
      </c>
      <c r="C626" s="204" t="s">
        <v>1105</v>
      </c>
      <c r="D626" s="204" t="s">
        <v>1242</v>
      </c>
      <c r="E626" s="4" t="s">
        <v>3209</v>
      </c>
      <c r="F626" s="4" t="s">
        <v>74</v>
      </c>
      <c r="G626" s="204"/>
      <c r="H626" s="204">
        <v>3</v>
      </c>
      <c r="I626" s="4" t="s">
        <v>7634</v>
      </c>
      <c r="J626" s="204">
        <v>2</v>
      </c>
      <c r="K626" s="11" t="s">
        <v>7633</v>
      </c>
      <c r="L626" s="204" t="s">
        <v>2276</v>
      </c>
      <c r="M626" s="204" t="s">
        <v>2276</v>
      </c>
    </row>
    <row r="627" spans="1:14" ht="31.5" customHeight="1">
      <c r="A627" s="19" t="s">
        <v>7389</v>
      </c>
      <c r="B627" s="19" t="s">
        <v>7442</v>
      </c>
      <c r="C627" s="204" t="s">
        <v>1105</v>
      </c>
      <c r="D627" s="204" t="s">
        <v>1242</v>
      </c>
      <c r="E627" s="4" t="s">
        <v>3209</v>
      </c>
      <c r="F627" s="4" t="s">
        <v>74</v>
      </c>
      <c r="G627" s="204"/>
      <c r="H627" s="204">
        <v>3</v>
      </c>
      <c r="I627" s="4" t="s">
        <v>7634</v>
      </c>
      <c r="J627" s="204">
        <v>1</v>
      </c>
      <c r="K627" s="11" t="s">
        <v>7632</v>
      </c>
      <c r="L627" s="204" t="s">
        <v>2276</v>
      </c>
      <c r="M627" s="204" t="s">
        <v>2276</v>
      </c>
    </row>
    <row r="628" spans="1:14" ht="31.5" customHeight="1">
      <c r="A628" s="19" t="s">
        <v>7390</v>
      </c>
      <c r="B628" s="19" t="s">
        <v>7443</v>
      </c>
      <c r="C628" s="204" t="s">
        <v>1105</v>
      </c>
      <c r="D628" s="204" t="s">
        <v>1242</v>
      </c>
      <c r="E628" s="4" t="s">
        <v>3209</v>
      </c>
      <c r="F628" s="4" t="s">
        <v>74</v>
      </c>
      <c r="G628" s="204"/>
      <c r="H628" s="204">
        <v>3</v>
      </c>
      <c r="I628" s="4" t="s">
        <v>7634</v>
      </c>
      <c r="J628" s="204">
        <v>1</v>
      </c>
      <c r="K628" s="11" t="s">
        <v>7632</v>
      </c>
      <c r="L628" s="204" t="s">
        <v>2276</v>
      </c>
      <c r="M628" s="204" t="s">
        <v>2276</v>
      </c>
    </row>
    <row r="629" spans="1:14" ht="31.5" customHeight="1">
      <c r="A629" s="19" t="s">
        <v>7391</v>
      </c>
      <c r="B629" s="19" t="s">
        <v>7444</v>
      </c>
      <c r="C629" s="204" t="s">
        <v>1105</v>
      </c>
      <c r="D629" s="204" t="s">
        <v>1242</v>
      </c>
      <c r="E629" s="4" t="s">
        <v>3209</v>
      </c>
      <c r="F629" s="4" t="s">
        <v>74</v>
      </c>
      <c r="G629" s="204"/>
      <c r="H629" s="204">
        <v>3</v>
      </c>
      <c r="I629" s="4" t="s">
        <v>7634</v>
      </c>
      <c r="J629" s="204">
        <v>1</v>
      </c>
      <c r="K629" s="11" t="s">
        <v>7632</v>
      </c>
      <c r="L629" s="204" t="s">
        <v>2276</v>
      </c>
      <c r="M629" s="204" t="s">
        <v>2276</v>
      </c>
    </row>
    <row r="630" spans="1:14" ht="31.5" customHeight="1">
      <c r="A630" s="19" t="s">
        <v>7392</v>
      </c>
      <c r="B630" s="19" t="s">
        <v>7445</v>
      </c>
      <c r="C630" s="204" t="s">
        <v>1105</v>
      </c>
      <c r="D630" s="204" t="s">
        <v>1242</v>
      </c>
      <c r="E630" s="4" t="s">
        <v>3209</v>
      </c>
      <c r="F630" s="4" t="s">
        <v>74</v>
      </c>
      <c r="G630" s="204"/>
      <c r="H630" s="204">
        <v>3</v>
      </c>
      <c r="I630" s="4" t="s">
        <v>7634</v>
      </c>
      <c r="J630" s="204">
        <v>1</v>
      </c>
      <c r="K630" s="11" t="s">
        <v>7632</v>
      </c>
      <c r="L630" s="204" t="s">
        <v>2276</v>
      </c>
      <c r="M630" s="204" t="s">
        <v>2276</v>
      </c>
    </row>
    <row r="631" spans="1:14" ht="31.5" customHeight="1">
      <c r="A631" s="19" t="s">
        <v>7393</v>
      </c>
      <c r="B631" s="19" t="s">
        <v>7446</v>
      </c>
      <c r="C631" s="204" t="s">
        <v>1105</v>
      </c>
      <c r="D631" s="204" t="s">
        <v>1242</v>
      </c>
      <c r="E631" s="4" t="s">
        <v>3209</v>
      </c>
      <c r="F631" s="4" t="s">
        <v>74</v>
      </c>
      <c r="G631" s="204"/>
      <c r="H631" s="204">
        <v>3</v>
      </c>
      <c r="I631" s="4" t="s">
        <v>7634</v>
      </c>
      <c r="J631" s="204">
        <v>1</v>
      </c>
      <c r="K631" s="11" t="s">
        <v>7632</v>
      </c>
      <c r="L631" s="204" t="s">
        <v>2276</v>
      </c>
      <c r="M631" s="204" t="s">
        <v>2276</v>
      </c>
    </row>
    <row r="632" spans="1:14" ht="31.5" customHeight="1">
      <c r="A632" s="19" t="s">
        <v>7394</v>
      </c>
      <c r="B632" s="19" t="s">
        <v>7447</v>
      </c>
      <c r="C632" s="204" t="s">
        <v>1105</v>
      </c>
      <c r="D632" s="204" t="s">
        <v>1242</v>
      </c>
      <c r="E632" s="4" t="s">
        <v>3209</v>
      </c>
      <c r="F632" s="4" t="s">
        <v>74</v>
      </c>
      <c r="G632" s="204"/>
      <c r="H632" s="204">
        <v>3</v>
      </c>
      <c r="I632" s="4" t="s">
        <v>7634</v>
      </c>
      <c r="J632" s="204">
        <v>2</v>
      </c>
      <c r="K632" s="11" t="s">
        <v>7633</v>
      </c>
      <c r="L632" s="204" t="s">
        <v>2276</v>
      </c>
      <c r="M632" s="204" t="s">
        <v>2276</v>
      </c>
    </row>
    <row r="633" spans="1:14" ht="31.5" customHeight="1">
      <c r="A633" s="19" t="s">
        <v>7395</v>
      </c>
      <c r="B633" s="19" t="s">
        <v>7448</v>
      </c>
      <c r="C633" s="204" t="s">
        <v>1105</v>
      </c>
      <c r="D633" s="204" t="s">
        <v>1242</v>
      </c>
      <c r="E633" s="4" t="s">
        <v>3209</v>
      </c>
      <c r="F633" s="4" t="s">
        <v>74</v>
      </c>
      <c r="G633" s="204"/>
      <c r="H633" s="204">
        <v>3</v>
      </c>
      <c r="I633" s="4" t="s">
        <v>7634</v>
      </c>
      <c r="J633" s="204">
        <v>2</v>
      </c>
      <c r="K633" s="11" t="s">
        <v>7633</v>
      </c>
      <c r="L633" s="204" t="s">
        <v>2276</v>
      </c>
      <c r="M633" s="204" t="s">
        <v>2276</v>
      </c>
    </row>
    <row r="634" spans="1:14" ht="31.5" customHeight="1">
      <c r="A634" s="19" t="s">
        <v>7396</v>
      </c>
      <c r="B634" s="19" t="s">
        <v>7449</v>
      </c>
      <c r="C634" s="204" t="s">
        <v>1105</v>
      </c>
      <c r="D634" s="204" t="s">
        <v>1242</v>
      </c>
      <c r="E634" s="4" t="s">
        <v>3209</v>
      </c>
      <c r="F634" s="4" t="s">
        <v>74</v>
      </c>
      <c r="G634" s="204"/>
      <c r="H634" s="204">
        <v>3</v>
      </c>
      <c r="I634" s="4" t="s">
        <v>7634</v>
      </c>
      <c r="J634" s="204">
        <v>2</v>
      </c>
      <c r="K634" s="11" t="s">
        <v>7633</v>
      </c>
      <c r="L634" s="204" t="s">
        <v>2276</v>
      </c>
      <c r="M634" s="204" t="s">
        <v>2276</v>
      </c>
    </row>
    <row r="635" spans="1:14" ht="31.5" customHeight="1">
      <c r="A635" s="19" t="s">
        <v>7595</v>
      </c>
      <c r="B635" s="19" t="s">
        <v>7597</v>
      </c>
      <c r="C635" s="204" t="s">
        <v>1105</v>
      </c>
      <c r="D635" s="204" t="s">
        <v>1242</v>
      </c>
      <c r="E635" s="4" t="s">
        <v>3209</v>
      </c>
      <c r="F635" s="4" t="s">
        <v>74</v>
      </c>
      <c r="G635" s="204"/>
      <c r="H635" s="204">
        <v>3</v>
      </c>
      <c r="I635" s="4" t="s">
        <v>7634</v>
      </c>
      <c r="J635" s="204">
        <v>1</v>
      </c>
      <c r="K635" s="11" t="s">
        <v>7632</v>
      </c>
      <c r="L635" s="204" t="s">
        <v>2276</v>
      </c>
      <c r="M635" s="204" t="s">
        <v>2276</v>
      </c>
    </row>
    <row r="636" spans="1:14" ht="31.5" customHeight="1">
      <c r="A636" s="55" t="s">
        <v>7617</v>
      </c>
      <c r="B636" s="55" t="s">
        <v>7631</v>
      </c>
      <c r="C636" s="38" t="s">
        <v>1105</v>
      </c>
      <c r="D636" s="38" t="s">
        <v>1242</v>
      </c>
      <c r="E636" s="168" t="s">
        <v>3209</v>
      </c>
      <c r="F636" s="168" t="s">
        <v>74</v>
      </c>
      <c r="G636" s="38"/>
      <c r="H636" s="38">
        <v>3</v>
      </c>
      <c r="I636" s="168" t="s">
        <v>7634</v>
      </c>
      <c r="J636" s="38">
        <v>1</v>
      </c>
      <c r="K636" s="35" t="s">
        <v>7632</v>
      </c>
      <c r="L636" s="38" t="s">
        <v>2276</v>
      </c>
      <c r="M636" s="38" t="s">
        <v>2276</v>
      </c>
    </row>
    <row r="637" spans="1:14" ht="29">
      <c r="A637" s="19" t="s">
        <v>7645</v>
      </c>
      <c r="B637" s="204" t="s">
        <v>7786</v>
      </c>
      <c r="C637" s="38" t="s">
        <v>1105</v>
      </c>
      <c r="D637" s="38" t="s">
        <v>1242</v>
      </c>
      <c r="E637" s="168" t="s">
        <v>3209</v>
      </c>
      <c r="F637" s="4" t="s">
        <v>2276</v>
      </c>
      <c r="G637" s="204"/>
      <c r="H637" s="4" t="s">
        <v>2276</v>
      </c>
      <c r="I637" s="4" t="s">
        <v>2276</v>
      </c>
      <c r="J637" s="204">
        <v>2</v>
      </c>
      <c r="K637" s="19" t="s">
        <v>7851</v>
      </c>
      <c r="L637" s="204" t="s">
        <v>2276</v>
      </c>
      <c r="M637" s="204" t="s">
        <v>2276</v>
      </c>
      <c r="N637" s="204"/>
    </row>
    <row r="638" spans="1:14" ht="29">
      <c r="A638" s="19" t="s">
        <v>7646</v>
      </c>
      <c r="B638" s="204" t="s">
        <v>7787</v>
      </c>
      <c r="C638" s="38" t="s">
        <v>1105</v>
      </c>
      <c r="D638" s="38" t="s">
        <v>1242</v>
      </c>
      <c r="E638" s="168" t="s">
        <v>3209</v>
      </c>
      <c r="F638" s="4" t="s">
        <v>2276</v>
      </c>
      <c r="G638" s="204"/>
      <c r="H638" s="4" t="s">
        <v>2276</v>
      </c>
      <c r="I638" s="4" t="s">
        <v>2276</v>
      </c>
      <c r="J638" s="204">
        <v>2</v>
      </c>
      <c r="K638" s="19" t="s">
        <v>7851</v>
      </c>
      <c r="L638" s="204" t="s">
        <v>2276</v>
      </c>
      <c r="M638" s="204" t="s">
        <v>2276</v>
      </c>
      <c r="N638" s="204"/>
    </row>
    <row r="639" spans="1:14" ht="29">
      <c r="A639" s="19" t="s">
        <v>7647</v>
      </c>
      <c r="B639" s="204" t="s">
        <v>7788</v>
      </c>
      <c r="C639" s="38" t="s">
        <v>1105</v>
      </c>
      <c r="D639" s="38" t="s">
        <v>1242</v>
      </c>
      <c r="E639" s="168" t="s">
        <v>3209</v>
      </c>
      <c r="F639" s="4" t="s">
        <v>2276</v>
      </c>
      <c r="G639" s="204"/>
      <c r="H639" s="4" t="s">
        <v>2276</v>
      </c>
      <c r="I639" s="4" t="s">
        <v>2276</v>
      </c>
      <c r="J639" s="204">
        <v>2</v>
      </c>
      <c r="K639" s="19" t="s">
        <v>7851</v>
      </c>
      <c r="L639" s="204" t="s">
        <v>2276</v>
      </c>
      <c r="M639" s="204" t="s">
        <v>2276</v>
      </c>
      <c r="N639" s="204"/>
    </row>
    <row r="640" spans="1:14" ht="29">
      <c r="A640" s="19" t="s">
        <v>7648</v>
      </c>
      <c r="B640" s="204" t="s">
        <v>7789</v>
      </c>
      <c r="C640" s="38" t="s">
        <v>1105</v>
      </c>
      <c r="D640" s="38" t="s">
        <v>1242</v>
      </c>
      <c r="E640" s="168" t="s">
        <v>3209</v>
      </c>
      <c r="F640" s="4" t="s">
        <v>2276</v>
      </c>
      <c r="G640" s="204"/>
      <c r="H640" s="4" t="s">
        <v>2276</v>
      </c>
      <c r="I640" s="4" t="s">
        <v>2276</v>
      </c>
      <c r="J640" s="204">
        <v>2</v>
      </c>
      <c r="K640" s="19" t="s">
        <v>7851</v>
      </c>
      <c r="L640" s="204" t="s">
        <v>2276</v>
      </c>
      <c r="M640" s="204" t="s">
        <v>2276</v>
      </c>
      <c r="N640" s="204"/>
    </row>
    <row r="641" spans="1:14" ht="29">
      <c r="A641" s="19" t="s">
        <v>7649</v>
      </c>
      <c r="B641" s="204" t="s">
        <v>7790</v>
      </c>
      <c r="C641" s="38" t="s">
        <v>1105</v>
      </c>
      <c r="D641" s="38" t="s">
        <v>1242</v>
      </c>
      <c r="E641" s="168" t="s">
        <v>3209</v>
      </c>
      <c r="F641" s="4" t="s">
        <v>2276</v>
      </c>
      <c r="G641" s="204"/>
      <c r="H641" s="4" t="s">
        <v>2276</v>
      </c>
      <c r="I641" s="4" t="s">
        <v>2276</v>
      </c>
      <c r="J641" s="204">
        <v>1</v>
      </c>
      <c r="K641" s="19" t="s">
        <v>7851</v>
      </c>
      <c r="L641" s="204" t="s">
        <v>2276</v>
      </c>
      <c r="M641" s="204" t="s">
        <v>2276</v>
      </c>
      <c r="N641" s="204"/>
    </row>
    <row r="642" spans="1:14" ht="29">
      <c r="A642" s="19" t="s">
        <v>7650</v>
      </c>
      <c r="B642" s="204" t="s">
        <v>7791</v>
      </c>
      <c r="C642" s="38" t="s">
        <v>1105</v>
      </c>
      <c r="D642" s="38" t="s">
        <v>1242</v>
      </c>
      <c r="E642" s="168" t="s">
        <v>3209</v>
      </c>
      <c r="F642" s="4" t="s">
        <v>2276</v>
      </c>
      <c r="G642" s="204"/>
      <c r="H642" s="4" t="s">
        <v>2276</v>
      </c>
      <c r="I642" s="4" t="s">
        <v>2276</v>
      </c>
      <c r="J642" s="204">
        <v>3</v>
      </c>
      <c r="K642" s="19" t="s">
        <v>7851</v>
      </c>
      <c r="L642" s="204" t="s">
        <v>2276</v>
      </c>
      <c r="M642" s="204" t="s">
        <v>2276</v>
      </c>
      <c r="N642" s="204"/>
    </row>
    <row r="643" spans="1:14" ht="29">
      <c r="A643" s="19" t="s">
        <v>7651</v>
      </c>
      <c r="B643" s="204" t="s">
        <v>7792</v>
      </c>
      <c r="C643" s="38" t="s">
        <v>1105</v>
      </c>
      <c r="D643" s="38" t="s">
        <v>1242</v>
      </c>
      <c r="E643" s="168" t="s">
        <v>3209</v>
      </c>
      <c r="F643" s="4" t="s">
        <v>2276</v>
      </c>
      <c r="G643" s="204"/>
      <c r="H643" s="4" t="s">
        <v>2276</v>
      </c>
      <c r="I643" s="4" t="s">
        <v>2276</v>
      </c>
      <c r="J643" s="204">
        <v>3</v>
      </c>
      <c r="K643" s="19" t="s">
        <v>7851</v>
      </c>
      <c r="L643" s="204" t="s">
        <v>2276</v>
      </c>
      <c r="M643" s="204" t="s">
        <v>2276</v>
      </c>
      <c r="N643" s="204"/>
    </row>
    <row r="644" spans="1:14" ht="29">
      <c r="A644" s="19" t="s">
        <v>7652</v>
      </c>
      <c r="B644" s="204" t="s">
        <v>7793</v>
      </c>
      <c r="C644" s="38" t="s">
        <v>1105</v>
      </c>
      <c r="D644" s="38" t="s">
        <v>1242</v>
      </c>
      <c r="E644" s="168" t="s">
        <v>3209</v>
      </c>
      <c r="F644" s="4" t="s">
        <v>2276</v>
      </c>
      <c r="G644" s="204"/>
      <c r="H644" s="4" t="s">
        <v>2276</v>
      </c>
      <c r="I644" s="4" t="s">
        <v>2276</v>
      </c>
      <c r="J644" s="204">
        <v>1</v>
      </c>
      <c r="K644" s="19" t="s">
        <v>7851</v>
      </c>
      <c r="L644" s="204" t="s">
        <v>2276</v>
      </c>
      <c r="M644" s="204" t="s">
        <v>2276</v>
      </c>
      <c r="N644" s="204"/>
    </row>
    <row r="645" spans="1:14" ht="29">
      <c r="A645" s="19" t="s">
        <v>7653</v>
      </c>
      <c r="B645" s="204" t="s">
        <v>7794</v>
      </c>
      <c r="C645" s="38" t="s">
        <v>1105</v>
      </c>
      <c r="D645" s="38" t="s">
        <v>1242</v>
      </c>
      <c r="E645" s="168" t="s">
        <v>3209</v>
      </c>
      <c r="F645" s="4" t="s">
        <v>2276</v>
      </c>
      <c r="G645" s="204"/>
      <c r="H645" s="4" t="s">
        <v>2276</v>
      </c>
      <c r="I645" s="4" t="s">
        <v>2276</v>
      </c>
      <c r="J645" s="204">
        <v>3</v>
      </c>
      <c r="K645" s="19" t="s">
        <v>7851</v>
      </c>
      <c r="L645" s="204" t="s">
        <v>2276</v>
      </c>
      <c r="M645" s="204" t="s">
        <v>2276</v>
      </c>
      <c r="N645" s="204"/>
    </row>
    <row r="646" spans="1:14" ht="29">
      <c r="A646" s="19" t="s">
        <v>7654</v>
      </c>
      <c r="B646" s="204" t="s">
        <v>7795</v>
      </c>
      <c r="C646" s="38" t="s">
        <v>1105</v>
      </c>
      <c r="D646" s="38" t="s">
        <v>1242</v>
      </c>
      <c r="E646" s="168" t="s">
        <v>3209</v>
      </c>
      <c r="F646" s="4" t="s">
        <v>2276</v>
      </c>
      <c r="G646" s="204"/>
      <c r="H646" s="4" t="s">
        <v>2276</v>
      </c>
      <c r="I646" s="4" t="s">
        <v>2276</v>
      </c>
      <c r="J646" s="204">
        <v>3</v>
      </c>
      <c r="K646" s="19" t="s">
        <v>7851</v>
      </c>
      <c r="L646" s="204" t="s">
        <v>2276</v>
      </c>
      <c r="M646" s="204" t="s">
        <v>2276</v>
      </c>
      <c r="N646" s="204"/>
    </row>
    <row r="647" spans="1:14" ht="29">
      <c r="A647" s="19" t="s">
        <v>7655</v>
      </c>
      <c r="B647" s="204" t="s">
        <v>7796</v>
      </c>
      <c r="C647" s="38" t="s">
        <v>1105</v>
      </c>
      <c r="D647" s="38" t="s">
        <v>1242</v>
      </c>
      <c r="E647" s="168" t="s">
        <v>3209</v>
      </c>
      <c r="F647" s="4" t="s">
        <v>2276</v>
      </c>
      <c r="G647" s="204"/>
      <c r="H647" s="4" t="s">
        <v>2276</v>
      </c>
      <c r="I647" s="4" t="s">
        <v>2276</v>
      </c>
      <c r="J647" s="204">
        <v>2</v>
      </c>
      <c r="K647" s="19" t="s">
        <v>7851</v>
      </c>
      <c r="L647" s="204" t="s">
        <v>2276</v>
      </c>
      <c r="M647" s="204" t="s">
        <v>2276</v>
      </c>
      <c r="N647" s="204"/>
    </row>
    <row r="648" spans="1:14" ht="29">
      <c r="A648" s="19" t="s">
        <v>7656</v>
      </c>
      <c r="B648" s="204" t="s">
        <v>7797</v>
      </c>
      <c r="C648" s="38" t="s">
        <v>1105</v>
      </c>
      <c r="D648" s="38" t="s">
        <v>1242</v>
      </c>
      <c r="E648" s="168" t="s">
        <v>3209</v>
      </c>
      <c r="F648" s="4" t="s">
        <v>2276</v>
      </c>
      <c r="G648" s="204"/>
      <c r="H648" s="4" t="s">
        <v>2276</v>
      </c>
      <c r="I648" s="4" t="s">
        <v>2276</v>
      </c>
      <c r="J648" s="204">
        <v>1</v>
      </c>
      <c r="K648" s="19" t="s">
        <v>7851</v>
      </c>
      <c r="L648" s="204" t="s">
        <v>2276</v>
      </c>
      <c r="M648" s="204" t="s">
        <v>2276</v>
      </c>
      <c r="N648" s="204"/>
    </row>
    <row r="649" spans="1:14" ht="29">
      <c r="A649" s="19" t="s">
        <v>7657</v>
      </c>
      <c r="B649" s="204" t="s">
        <v>7798</v>
      </c>
      <c r="C649" s="38" t="s">
        <v>1105</v>
      </c>
      <c r="D649" s="38" t="s">
        <v>1242</v>
      </c>
      <c r="E649" s="168" t="s">
        <v>3209</v>
      </c>
      <c r="F649" s="4" t="s">
        <v>2276</v>
      </c>
      <c r="G649" s="204"/>
      <c r="H649" s="4" t="s">
        <v>2276</v>
      </c>
      <c r="I649" s="4" t="s">
        <v>2276</v>
      </c>
      <c r="J649" s="204">
        <v>2</v>
      </c>
      <c r="K649" s="19" t="s">
        <v>7851</v>
      </c>
      <c r="L649" s="204" t="s">
        <v>2276</v>
      </c>
      <c r="M649" s="204" t="s">
        <v>2276</v>
      </c>
      <c r="N649" s="204"/>
    </row>
    <row r="650" spans="1:14" ht="29">
      <c r="A650" s="19" t="s">
        <v>7658</v>
      </c>
      <c r="B650" s="204" t="s">
        <v>7799</v>
      </c>
      <c r="C650" s="38" t="s">
        <v>1105</v>
      </c>
      <c r="D650" s="38" t="s">
        <v>1242</v>
      </c>
      <c r="E650" s="168" t="s">
        <v>3209</v>
      </c>
      <c r="F650" s="4" t="s">
        <v>2276</v>
      </c>
      <c r="G650" s="204"/>
      <c r="H650" s="4" t="s">
        <v>2276</v>
      </c>
      <c r="I650" s="4" t="s">
        <v>2276</v>
      </c>
      <c r="J650" s="204">
        <v>3</v>
      </c>
      <c r="K650" s="19" t="s">
        <v>7851</v>
      </c>
      <c r="L650" s="204" t="s">
        <v>2276</v>
      </c>
      <c r="M650" s="204" t="s">
        <v>2276</v>
      </c>
      <c r="N650" s="204"/>
    </row>
    <row r="651" spans="1:14" ht="29">
      <c r="A651" s="19" t="s">
        <v>7659</v>
      </c>
      <c r="B651" s="204" t="s">
        <v>7800</v>
      </c>
      <c r="C651" s="38" t="s">
        <v>1105</v>
      </c>
      <c r="D651" s="38" t="s">
        <v>1242</v>
      </c>
      <c r="E651" s="168" t="s">
        <v>3209</v>
      </c>
      <c r="F651" s="4" t="s">
        <v>2276</v>
      </c>
      <c r="G651" s="204"/>
      <c r="H651" s="4" t="s">
        <v>2276</v>
      </c>
      <c r="I651" s="4" t="s">
        <v>2276</v>
      </c>
      <c r="J651" s="204">
        <v>2</v>
      </c>
      <c r="K651" s="19" t="s">
        <v>7851</v>
      </c>
      <c r="L651" s="204" t="s">
        <v>2276</v>
      </c>
      <c r="M651" s="204" t="s">
        <v>2276</v>
      </c>
      <c r="N651" s="204"/>
    </row>
    <row r="652" spans="1:14" ht="29">
      <c r="A652" s="19" t="s">
        <v>7660</v>
      </c>
      <c r="B652" s="204" t="s">
        <v>7801</v>
      </c>
      <c r="C652" s="38" t="s">
        <v>1105</v>
      </c>
      <c r="D652" s="38" t="s">
        <v>1242</v>
      </c>
      <c r="E652" s="168" t="s">
        <v>3209</v>
      </c>
      <c r="F652" s="4" t="s">
        <v>2276</v>
      </c>
      <c r="G652" s="204"/>
      <c r="H652" s="4" t="s">
        <v>2276</v>
      </c>
      <c r="I652" s="4" t="s">
        <v>2276</v>
      </c>
      <c r="J652" s="204">
        <v>2</v>
      </c>
      <c r="K652" s="19" t="s">
        <v>7851</v>
      </c>
      <c r="L652" s="204" t="s">
        <v>2276</v>
      </c>
      <c r="M652" s="204" t="s">
        <v>2276</v>
      </c>
      <c r="N652" s="204"/>
    </row>
    <row r="653" spans="1:14" ht="29">
      <c r="A653" s="19" t="s">
        <v>7661</v>
      </c>
      <c r="B653" s="204" t="s">
        <v>7802</v>
      </c>
      <c r="C653" s="38" t="s">
        <v>1105</v>
      </c>
      <c r="D653" s="38" t="s">
        <v>1242</v>
      </c>
      <c r="E653" s="168" t="s">
        <v>3209</v>
      </c>
      <c r="F653" s="4" t="s">
        <v>2276</v>
      </c>
      <c r="G653" s="204"/>
      <c r="H653" s="4" t="s">
        <v>2276</v>
      </c>
      <c r="I653" s="4" t="s">
        <v>2276</v>
      </c>
      <c r="J653" s="204">
        <v>2</v>
      </c>
      <c r="K653" s="19" t="s">
        <v>7851</v>
      </c>
      <c r="L653" s="204" t="s">
        <v>2276</v>
      </c>
      <c r="M653" s="204" t="s">
        <v>2276</v>
      </c>
      <c r="N653" s="204"/>
    </row>
    <row r="654" spans="1:14" ht="29">
      <c r="A654" s="19" t="s">
        <v>7662</v>
      </c>
      <c r="B654" s="204" t="s">
        <v>7803</v>
      </c>
      <c r="C654" s="38" t="s">
        <v>1105</v>
      </c>
      <c r="D654" s="38" t="s">
        <v>1242</v>
      </c>
      <c r="E654" s="168" t="s">
        <v>3209</v>
      </c>
      <c r="F654" s="4" t="s">
        <v>2276</v>
      </c>
      <c r="G654" s="204"/>
      <c r="H654" s="4" t="s">
        <v>2276</v>
      </c>
      <c r="I654" s="4" t="s">
        <v>2276</v>
      </c>
      <c r="J654" s="204">
        <v>2</v>
      </c>
      <c r="K654" s="19" t="s">
        <v>7851</v>
      </c>
      <c r="L654" s="204" t="s">
        <v>2276</v>
      </c>
      <c r="M654" s="204" t="s">
        <v>2276</v>
      </c>
      <c r="N654" s="204"/>
    </row>
    <row r="655" spans="1:14" ht="29">
      <c r="A655" s="19" t="s">
        <v>7663</v>
      </c>
      <c r="B655" s="204" t="s">
        <v>7804</v>
      </c>
      <c r="C655" s="38" t="s">
        <v>1105</v>
      </c>
      <c r="D655" s="38" t="s">
        <v>1242</v>
      </c>
      <c r="E655" s="168" t="s">
        <v>3209</v>
      </c>
      <c r="F655" s="4" t="s">
        <v>2276</v>
      </c>
      <c r="G655" s="204"/>
      <c r="H655" s="4" t="s">
        <v>2276</v>
      </c>
      <c r="I655" s="4" t="s">
        <v>2276</v>
      </c>
      <c r="J655" s="204">
        <v>1</v>
      </c>
      <c r="K655" s="19" t="s">
        <v>7851</v>
      </c>
      <c r="L655" s="204" t="s">
        <v>2276</v>
      </c>
      <c r="M655" s="204" t="s">
        <v>2276</v>
      </c>
      <c r="N655" s="204"/>
    </row>
    <row r="656" spans="1:14" ht="29">
      <c r="A656" s="19" t="s">
        <v>7664</v>
      </c>
      <c r="B656" s="204" t="s">
        <v>7805</v>
      </c>
      <c r="C656" s="38" t="s">
        <v>1105</v>
      </c>
      <c r="D656" s="38" t="s">
        <v>1242</v>
      </c>
      <c r="E656" s="168" t="s">
        <v>3209</v>
      </c>
      <c r="F656" s="4" t="s">
        <v>2276</v>
      </c>
      <c r="G656" s="204"/>
      <c r="H656" s="4" t="s">
        <v>2276</v>
      </c>
      <c r="I656" s="4" t="s">
        <v>2276</v>
      </c>
      <c r="J656" s="204">
        <v>2</v>
      </c>
      <c r="K656" s="19" t="s">
        <v>7851</v>
      </c>
      <c r="L656" s="204" t="s">
        <v>2276</v>
      </c>
      <c r="M656" s="204" t="s">
        <v>2276</v>
      </c>
      <c r="N656" s="204"/>
    </row>
    <row r="657" spans="1:14" ht="29">
      <c r="A657" s="19" t="s">
        <v>7665</v>
      </c>
      <c r="B657" s="204" t="s">
        <v>7806</v>
      </c>
      <c r="C657" s="38" t="s">
        <v>1105</v>
      </c>
      <c r="D657" s="38" t="s">
        <v>1242</v>
      </c>
      <c r="E657" s="168" t="s">
        <v>3209</v>
      </c>
      <c r="F657" s="4" t="s">
        <v>2276</v>
      </c>
      <c r="G657" s="204"/>
      <c r="H657" s="4" t="s">
        <v>2276</v>
      </c>
      <c r="I657" s="4" t="s">
        <v>2276</v>
      </c>
      <c r="J657" s="204">
        <v>2</v>
      </c>
      <c r="K657" s="19" t="s">
        <v>7851</v>
      </c>
      <c r="L657" s="204" t="s">
        <v>2276</v>
      </c>
      <c r="M657" s="204" t="s">
        <v>2276</v>
      </c>
      <c r="N657" s="204"/>
    </row>
    <row r="658" spans="1:14" ht="29">
      <c r="A658" s="19" t="s">
        <v>7666</v>
      </c>
      <c r="B658" s="204" t="s">
        <v>7807</v>
      </c>
      <c r="C658" s="38" t="s">
        <v>1105</v>
      </c>
      <c r="D658" s="38" t="s">
        <v>1242</v>
      </c>
      <c r="E658" s="168" t="s">
        <v>3209</v>
      </c>
      <c r="F658" s="4" t="s">
        <v>2276</v>
      </c>
      <c r="G658" s="204"/>
      <c r="H658" s="4" t="s">
        <v>2276</v>
      </c>
      <c r="I658" s="4" t="s">
        <v>2276</v>
      </c>
      <c r="J658" s="204">
        <v>2</v>
      </c>
      <c r="K658" s="19" t="s">
        <v>7851</v>
      </c>
      <c r="L658" s="204" t="s">
        <v>2276</v>
      </c>
      <c r="M658" s="204" t="s">
        <v>2276</v>
      </c>
      <c r="N658" s="204"/>
    </row>
    <row r="659" spans="1:14" ht="29">
      <c r="A659" s="19" t="s">
        <v>7667</v>
      </c>
      <c r="B659" s="204" t="s">
        <v>7808</v>
      </c>
      <c r="C659" s="38" t="s">
        <v>1105</v>
      </c>
      <c r="D659" s="38" t="s">
        <v>1242</v>
      </c>
      <c r="E659" s="168" t="s">
        <v>3209</v>
      </c>
      <c r="F659" s="4" t="s">
        <v>2276</v>
      </c>
      <c r="G659" s="204"/>
      <c r="H659" s="4" t="s">
        <v>2276</v>
      </c>
      <c r="I659" s="4" t="s">
        <v>2276</v>
      </c>
      <c r="J659" s="204">
        <v>2</v>
      </c>
      <c r="K659" s="19" t="s">
        <v>7851</v>
      </c>
      <c r="L659" s="204" t="s">
        <v>2276</v>
      </c>
      <c r="M659" s="204" t="s">
        <v>2276</v>
      </c>
      <c r="N659" s="204"/>
    </row>
    <row r="660" spans="1:14" ht="29">
      <c r="A660" s="19" t="s">
        <v>7668</v>
      </c>
      <c r="B660" s="204" t="s">
        <v>7809</v>
      </c>
      <c r="C660" s="38" t="s">
        <v>1105</v>
      </c>
      <c r="D660" s="38" t="s">
        <v>1242</v>
      </c>
      <c r="E660" s="168" t="s">
        <v>3209</v>
      </c>
      <c r="F660" s="4" t="s">
        <v>2276</v>
      </c>
      <c r="G660" s="204"/>
      <c r="H660" s="4" t="s">
        <v>2276</v>
      </c>
      <c r="I660" s="4" t="s">
        <v>2276</v>
      </c>
      <c r="J660" s="204">
        <v>2</v>
      </c>
      <c r="K660" s="19" t="s">
        <v>7851</v>
      </c>
      <c r="L660" s="204" t="s">
        <v>2276</v>
      </c>
      <c r="M660" s="204" t="s">
        <v>2276</v>
      </c>
      <c r="N660" s="204"/>
    </row>
    <row r="661" spans="1:14" ht="29">
      <c r="A661" s="19" t="s">
        <v>7669</v>
      </c>
      <c r="B661" s="204" t="s">
        <v>7810</v>
      </c>
      <c r="C661" s="38" t="s">
        <v>1105</v>
      </c>
      <c r="D661" s="38" t="s">
        <v>1242</v>
      </c>
      <c r="E661" s="168" t="s">
        <v>3209</v>
      </c>
      <c r="F661" s="4" t="s">
        <v>2276</v>
      </c>
      <c r="G661" s="204"/>
      <c r="H661" s="4" t="s">
        <v>2276</v>
      </c>
      <c r="I661" s="4" t="s">
        <v>2276</v>
      </c>
      <c r="J661" s="204">
        <v>2</v>
      </c>
      <c r="K661" s="19" t="s">
        <v>7851</v>
      </c>
      <c r="L661" s="204" t="s">
        <v>2276</v>
      </c>
      <c r="M661" s="204" t="s">
        <v>2276</v>
      </c>
      <c r="N661" s="204"/>
    </row>
    <row r="662" spans="1:14" ht="29">
      <c r="A662" s="19" t="s">
        <v>7670</v>
      </c>
      <c r="B662" s="204" t="s">
        <v>7811</v>
      </c>
      <c r="C662" s="38" t="s">
        <v>1105</v>
      </c>
      <c r="D662" s="38" t="s">
        <v>1242</v>
      </c>
      <c r="E662" s="168" t="s">
        <v>3209</v>
      </c>
      <c r="F662" s="4" t="s">
        <v>2276</v>
      </c>
      <c r="G662" s="204"/>
      <c r="H662" s="4" t="s">
        <v>2276</v>
      </c>
      <c r="I662" s="4" t="s">
        <v>2276</v>
      </c>
      <c r="J662" s="204">
        <v>1</v>
      </c>
      <c r="K662" s="19" t="s">
        <v>7851</v>
      </c>
      <c r="L662" s="204" t="s">
        <v>2276</v>
      </c>
      <c r="M662" s="204" t="s">
        <v>2276</v>
      </c>
      <c r="N662" s="204"/>
    </row>
    <row r="663" spans="1:14" ht="29">
      <c r="A663" s="19" t="s">
        <v>7671</v>
      </c>
      <c r="B663" s="204" t="s">
        <v>7812</v>
      </c>
      <c r="C663" s="38" t="s">
        <v>1105</v>
      </c>
      <c r="D663" s="38" t="s">
        <v>1242</v>
      </c>
      <c r="E663" s="168" t="s">
        <v>3209</v>
      </c>
      <c r="F663" s="4" t="s">
        <v>2276</v>
      </c>
      <c r="G663" s="204"/>
      <c r="H663" s="4" t="s">
        <v>2276</v>
      </c>
      <c r="I663" s="4" t="s">
        <v>2276</v>
      </c>
      <c r="J663" s="204">
        <v>2</v>
      </c>
      <c r="K663" s="19" t="s">
        <v>7851</v>
      </c>
      <c r="L663" s="204" t="s">
        <v>2276</v>
      </c>
      <c r="M663" s="204" t="s">
        <v>2276</v>
      </c>
      <c r="N663" s="204"/>
    </row>
    <row r="664" spans="1:14" ht="29">
      <c r="A664" s="19" t="s">
        <v>7672</v>
      </c>
      <c r="B664" s="204" t="s">
        <v>7813</v>
      </c>
      <c r="C664" s="38" t="s">
        <v>1105</v>
      </c>
      <c r="D664" s="38" t="s">
        <v>1242</v>
      </c>
      <c r="E664" s="168" t="s">
        <v>3209</v>
      </c>
      <c r="F664" s="4" t="s">
        <v>2276</v>
      </c>
      <c r="G664" s="204"/>
      <c r="H664" s="4" t="s">
        <v>2276</v>
      </c>
      <c r="I664" s="4" t="s">
        <v>2276</v>
      </c>
      <c r="J664" s="204">
        <v>2</v>
      </c>
      <c r="K664" s="19" t="s">
        <v>7851</v>
      </c>
      <c r="L664" s="204" t="s">
        <v>2276</v>
      </c>
      <c r="M664" s="204" t="s">
        <v>2276</v>
      </c>
      <c r="N664" s="204"/>
    </row>
    <row r="665" spans="1:14" ht="29">
      <c r="A665" s="19" t="s">
        <v>7673</v>
      </c>
      <c r="B665" s="204" t="s">
        <v>7814</v>
      </c>
      <c r="C665" s="38" t="s">
        <v>1105</v>
      </c>
      <c r="D665" s="38" t="s">
        <v>1242</v>
      </c>
      <c r="E665" s="168" t="s">
        <v>3209</v>
      </c>
      <c r="F665" s="4" t="s">
        <v>2276</v>
      </c>
      <c r="G665" s="204"/>
      <c r="H665" s="4" t="s">
        <v>2276</v>
      </c>
      <c r="I665" s="4" t="s">
        <v>2276</v>
      </c>
      <c r="J665" s="204">
        <v>1</v>
      </c>
      <c r="K665" s="19" t="s">
        <v>7851</v>
      </c>
      <c r="L665" s="204" t="s">
        <v>2276</v>
      </c>
      <c r="M665" s="204" t="s">
        <v>2276</v>
      </c>
      <c r="N665" s="204"/>
    </row>
    <row r="666" spans="1:14" ht="29">
      <c r="A666" s="19" t="s">
        <v>7674</v>
      </c>
      <c r="B666" s="204" t="s">
        <v>7815</v>
      </c>
      <c r="C666" s="38" t="s">
        <v>1105</v>
      </c>
      <c r="D666" s="38" t="s">
        <v>1242</v>
      </c>
      <c r="E666" s="168" t="s">
        <v>3209</v>
      </c>
      <c r="F666" s="4" t="s">
        <v>2276</v>
      </c>
      <c r="G666" s="204"/>
      <c r="H666" s="4" t="s">
        <v>2276</v>
      </c>
      <c r="I666" s="4" t="s">
        <v>2276</v>
      </c>
      <c r="J666" s="204">
        <v>1</v>
      </c>
      <c r="K666" s="19" t="s">
        <v>7851</v>
      </c>
      <c r="L666" s="204" t="s">
        <v>2276</v>
      </c>
      <c r="M666" s="204" t="s">
        <v>2276</v>
      </c>
      <c r="N666" s="204"/>
    </row>
    <row r="667" spans="1:14" ht="29">
      <c r="A667" s="19" t="s">
        <v>7594</v>
      </c>
      <c r="B667" s="204" t="s">
        <v>7816</v>
      </c>
      <c r="C667" s="38" t="s">
        <v>1105</v>
      </c>
      <c r="D667" s="38" t="s">
        <v>1242</v>
      </c>
      <c r="E667" s="168" t="s">
        <v>3209</v>
      </c>
      <c r="F667" s="4" t="s">
        <v>2276</v>
      </c>
      <c r="G667" s="204"/>
      <c r="H667" s="4" t="s">
        <v>2276</v>
      </c>
      <c r="I667" s="4" t="s">
        <v>2276</v>
      </c>
      <c r="J667" s="204">
        <v>1</v>
      </c>
      <c r="K667" s="19" t="s">
        <v>7851</v>
      </c>
      <c r="L667" s="204" t="s">
        <v>2276</v>
      </c>
      <c r="M667" s="204" t="s">
        <v>2276</v>
      </c>
      <c r="N667" s="204"/>
    </row>
    <row r="668" spans="1:14" ht="29">
      <c r="A668" s="19" t="s">
        <v>7615</v>
      </c>
      <c r="B668" s="204" t="s">
        <v>7616</v>
      </c>
      <c r="C668" s="38" t="s">
        <v>1105</v>
      </c>
      <c r="D668" s="38" t="s">
        <v>1242</v>
      </c>
      <c r="E668" s="168" t="s">
        <v>3209</v>
      </c>
      <c r="F668" s="4" t="s">
        <v>2276</v>
      </c>
      <c r="G668" s="204"/>
      <c r="H668" s="4" t="s">
        <v>2276</v>
      </c>
      <c r="I668" s="4" t="s">
        <v>2276</v>
      </c>
      <c r="J668" s="204">
        <v>1</v>
      </c>
      <c r="K668" s="19" t="s">
        <v>7851</v>
      </c>
      <c r="L668" s="204" t="s">
        <v>2276</v>
      </c>
      <c r="M668" s="204" t="s">
        <v>2276</v>
      </c>
      <c r="N668" s="204"/>
    </row>
    <row r="669" spans="1:14" ht="29">
      <c r="A669" s="19" t="s">
        <v>7675</v>
      </c>
      <c r="B669" s="204" t="s">
        <v>7817</v>
      </c>
      <c r="C669" s="38" t="s">
        <v>1105</v>
      </c>
      <c r="D669" s="38" t="s">
        <v>1242</v>
      </c>
      <c r="E669" s="168" t="s">
        <v>3209</v>
      </c>
      <c r="F669" s="4" t="s">
        <v>2276</v>
      </c>
      <c r="G669" s="204"/>
      <c r="H669" s="4" t="s">
        <v>2276</v>
      </c>
      <c r="I669" s="4" t="s">
        <v>2276</v>
      </c>
      <c r="J669" s="204">
        <v>1</v>
      </c>
      <c r="K669" s="19" t="s">
        <v>7851</v>
      </c>
      <c r="L669" s="204" t="s">
        <v>2276</v>
      </c>
      <c r="M669" s="204" t="s">
        <v>2276</v>
      </c>
      <c r="N669" s="204"/>
    </row>
    <row r="670" spans="1:14" ht="29">
      <c r="A670" s="19" t="s">
        <v>7676</v>
      </c>
      <c r="B670" s="204" t="s">
        <v>7818</v>
      </c>
      <c r="C670" s="38" t="s">
        <v>1105</v>
      </c>
      <c r="D670" s="38" t="s">
        <v>1242</v>
      </c>
      <c r="E670" s="168" t="s">
        <v>3209</v>
      </c>
      <c r="F670" s="4" t="s">
        <v>2276</v>
      </c>
      <c r="G670" s="204"/>
      <c r="H670" s="4" t="s">
        <v>2276</v>
      </c>
      <c r="I670" s="4" t="s">
        <v>2276</v>
      </c>
      <c r="J670" s="204">
        <v>0</v>
      </c>
      <c r="K670" s="19" t="s">
        <v>7851</v>
      </c>
      <c r="L670" s="204" t="s">
        <v>2276</v>
      </c>
      <c r="M670" s="204" t="s">
        <v>2276</v>
      </c>
      <c r="N670" s="204"/>
    </row>
    <row r="671" spans="1:14" ht="29">
      <c r="A671" s="19" t="s">
        <v>7677</v>
      </c>
      <c r="B671" s="204" t="s">
        <v>7819</v>
      </c>
      <c r="C671" s="38" t="s">
        <v>1105</v>
      </c>
      <c r="D671" s="38" t="s">
        <v>1242</v>
      </c>
      <c r="E671" s="168" t="s">
        <v>3209</v>
      </c>
      <c r="F671" s="4" t="s">
        <v>2276</v>
      </c>
      <c r="G671" s="204"/>
      <c r="H671" s="4" t="s">
        <v>2276</v>
      </c>
      <c r="I671" s="4" t="s">
        <v>2276</v>
      </c>
      <c r="J671" s="204">
        <v>1</v>
      </c>
      <c r="K671" s="19" t="s">
        <v>7851</v>
      </c>
      <c r="L671" s="204" t="s">
        <v>2276</v>
      </c>
      <c r="M671" s="204" t="s">
        <v>2276</v>
      </c>
      <c r="N671" s="204"/>
    </row>
    <row r="672" spans="1:14" ht="29">
      <c r="A672" s="19" t="s">
        <v>7678</v>
      </c>
      <c r="B672" s="204" t="s">
        <v>7820</v>
      </c>
      <c r="C672" s="38" t="s">
        <v>1105</v>
      </c>
      <c r="D672" s="38" t="s">
        <v>1242</v>
      </c>
      <c r="E672" s="168" t="s">
        <v>3209</v>
      </c>
      <c r="F672" s="4" t="s">
        <v>2276</v>
      </c>
      <c r="G672" s="204"/>
      <c r="H672" s="4" t="s">
        <v>2276</v>
      </c>
      <c r="I672" s="4" t="s">
        <v>2276</v>
      </c>
      <c r="J672" s="204">
        <v>3</v>
      </c>
      <c r="K672" s="19" t="s">
        <v>7851</v>
      </c>
      <c r="L672" s="204" t="s">
        <v>2276</v>
      </c>
      <c r="M672" s="204" t="s">
        <v>2276</v>
      </c>
      <c r="N672" s="204"/>
    </row>
    <row r="673" spans="1:14" ht="29">
      <c r="A673" s="19" t="s">
        <v>7679</v>
      </c>
      <c r="B673" s="204" t="s">
        <v>7821</v>
      </c>
      <c r="C673" s="38" t="s">
        <v>1105</v>
      </c>
      <c r="D673" s="38" t="s">
        <v>1242</v>
      </c>
      <c r="E673" s="168" t="s">
        <v>3209</v>
      </c>
      <c r="F673" s="4" t="s">
        <v>2276</v>
      </c>
      <c r="G673" s="204"/>
      <c r="H673" s="4" t="s">
        <v>2276</v>
      </c>
      <c r="I673" s="4" t="s">
        <v>2276</v>
      </c>
      <c r="J673" s="204">
        <v>1</v>
      </c>
      <c r="K673" s="19" t="s">
        <v>7851</v>
      </c>
      <c r="L673" s="204" t="s">
        <v>2276</v>
      </c>
      <c r="M673" s="204" t="s">
        <v>2276</v>
      </c>
      <c r="N673" s="204"/>
    </row>
    <row r="674" spans="1:14" ht="29">
      <c r="A674" s="19" t="s">
        <v>7680</v>
      </c>
      <c r="B674" s="204" t="s">
        <v>7822</v>
      </c>
      <c r="C674" s="38" t="s">
        <v>1105</v>
      </c>
      <c r="D674" s="38" t="s">
        <v>1242</v>
      </c>
      <c r="E674" s="168" t="s">
        <v>3209</v>
      </c>
      <c r="F674" s="4" t="s">
        <v>2276</v>
      </c>
      <c r="G674" s="204"/>
      <c r="H674" s="4" t="s">
        <v>2276</v>
      </c>
      <c r="I674" s="4" t="s">
        <v>2276</v>
      </c>
      <c r="J674" s="204">
        <v>1</v>
      </c>
      <c r="K674" s="19" t="s">
        <v>7851</v>
      </c>
      <c r="L674" s="204" t="s">
        <v>2276</v>
      </c>
      <c r="M674" s="204" t="s">
        <v>2276</v>
      </c>
      <c r="N674" s="204"/>
    </row>
    <row r="675" spans="1:14" ht="29">
      <c r="A675" s="19" t="s">
        <v>7681</v>
      </c>
      <c r="B675" s="204" t="s">
        <v>7823</v>
      </c>
      <c r="C675" s="38" t="s">
        <v>1105</v>
      </c>
      <c r="D675" s="38" t="s">
        <v>1242</v>
      </c>
      <c r="E675" s="168" t="s">
        <v>3209</v>
      </c>
      <c r="F675" s="4" t="s">
        <v>2276</v>
      </c>
      <c r="G675" s="204"/>
      <c r="H675" s="4" t="s">
        <v>2276</v>
      </c>
      <c r="I675" s="4" t="s">
        <v>2276</v>
      </c>
      <c r="J675" s="204">
        <v>2</v>
      </c>
      <c r="K675" s="19" t="s">
        <v>7851</v>
      </c>
      <c r="L675" s="204" t="s">
        <v>2276</v>
      </c>
      <c r="M675" s="204" t="s">
        <v>2276</v>
      </c>
      <c r="N675" s="204"/>
    </row>
    <row r="676" spans="1:14" ht="29">
      <c r="A676" s="19" t="s">
        <v>7682</v>
      </c>
      <c r="B676" s="204" t="s">
        <v>7824</v>
      </c>
      <c r="C676" s="38" t="s">
        <v>1105</v>
      </c>
      <c r="D676" s="38" t="s">
        <v>1242</v>
      </c>
      <c r="E676" s="168" t="s">
        <v>3209</v>
      </c>
      <c r="F676" s="4" t="s">
        <v>2276</v>
      </c>
      <c r="G676" s="204"/>
      <c r="H676" s="4" t="s">
        <v>2276</v>
      </c>
      <c r="I676" s="4" t="s">
        <v>2276</v>
      </c>
      <c r="J676" s="204">
        <v>2</v>
      </c>
      <c r="K676" s="19" t="s">
        <v>7851</v>
      </c>
      <c r="L676" s="204" t="s">
        <v>2276</v>
      </c>
      <c r="M676" s="204" t="s">
        <v>2276</v>
      </c>
      <c r="N676" s="204"/>
    </row>
    <row r="677" spans="1:14" ht="29">
      <c r="A677" s="19" t="s">
        <v>7683</v>
      </c>
      <c r="B677" s="204" t="s">
        <v>7825</v>
      </c>
      <c r="C677" s="38" t="s">
        <v>1105</v>
      </c>
      <c r="D677" s="38" t="s">
        <v>1242</v>
      </c>
      <c r="E677" s="168" t="s">
        <v>3209</v>
      </c>
      <c r="F677" s="4" t="s">
        <v>2276</v>
      </c>
      <c r="G677" s="204"/>
      <c r="H677" s="4" t="s">
        <v>2276</v>
      </c>
      <c r="I677" s="4" t="s">
        <v>2276</v>
      </c>
      <c r="J677" s="204">
        <v>1</v>
      </c>
      <c r="K677" s="19" t="s">
        <v>7851</v>
      </c>
      <c r="L677" s="204" t="s">
        <v>2276</v>
      </c>
      <c r="M677" s="204" t="s">
        <v>2276</v>
      </c>
      <c r="N677" s="204"/>
    </row>
    <row r="678" spans="1:14" ht="29">
      <c r="A678" s="19" t="s">
        <v>7684</v>
      </c>
      <c r="B678" s="204" t="s">
        <v>7826</v>
      </c>
      <c r="C678" s="38" t="s">
        <v>1105</v>
      </c>
      <c r="D678" s="38" t="s">
        <v>1242</v>
      </c>
      <c r="E678" s="168" t="s">
        <v>3209</v>
      </c>
      <c r="F678" s="4" t="s">
        <v>2276</v>
      </c>
      <c r="G678" s="204"/>
      <c r="H678" s="4" t="s">
        <v>2276</v>
      </c>
      <c r="I678" s="4" t="s">
        <v>2276</v>
      </c>
      <c r="J678" s="204">
        <v>1</v>
      </c>
      <c r="K678" s="19" t="s">
        <v>7851</v>
      </c>
      <c r="L678" s="204" t="s">
        <v>2276</v>
      </c>
      <c r="M678" s="204" t="s">
        <v>2276</v>
      </c>
      <c r="N678" s="204"/>
    </row>
    <row r="679" spans="1:14" ht="29">
      <c r="A679" s="19" t="s">
        <v>7685</v>
      </c>
      <c r="B679" s="204" t="s">
        <v>7827</v>
      </c>
      <c r="C679" s="38" t="s">
        <v>1105</v>
      </c>
      <c r="D679" s="38" t="s">
        <v>1242</v>
      </c>
      <c r="E679" s="168" t="s">
        <v>3209</v>
      </c>
      <c r="F679" s="4" t="s">
        <v>2276</v>
      </c>
      <c r="G679" s="204"/>
      <c r="H679" s="4" t="s">
        <v>2276</v>
      </c>
      <c r="I679" s="4" t="s">
        <v>2276</v>
      </c>
      <c r="J679" s="204">
        <v>2</v>
      </c>
      <c r="K679" s="19" t="s">
        <v>7851</v>
      </c>
      <c r="L679" s="204" t="s">
        <v>2276</v>
      </c>
      <c r="M679" s="204" t="s">
        <v>2276</v>
      </c>
      <c r="N679" s="204"/>
    </row>
    <row r="680" spans="1:14" ht="29">
      <c r="A680" s="19" t="s">
        <v>7686</v>
      </c>
      <c r="B680" s="204" t="s">
        <v>7828</v>
      </c>
      <c r="C680" s="38" t="s">
        <v>1105</v>
      </c>
      <c r="D680" s="38" t="s">
        <v>1242</v>
      </c>
      <c r="E680" s="168" t="s">
        <v>3209</v>
      </c>
      <c r="F680" s="4" t="s">
        <v>2276</v>
      </c>
      <c r="G680" s="204"/>
      <c r="H680" s="4" t="s">
        <v>2276</v>
      </c>
      <c r="I680" s="4" t="s">
        <v>2276</v>
      </c>
      <c r="J680" s="204">
        <v>1</v>
      </c>
      <c r="K680" s="19" t="s">
        <v>7851</v>
      </c>
      <c r="L680" s="204" t="s">
        <v>2276</v>
      </c>
      <c r="M680" s="204" t="s">
        <v>2276</v>
      </c>
      <c r="N680" s="204"/>
    </row>
    <row r="681" spans="1:14" ht="29">
      <c r="A681" s="19" t="s">
        <v>7687</v>
      </c>
      <c r="B681" s="204" t="s">
        <v>7829</v>
      </c>
      <c r="C681" s="38" t="s">
        <v>1105</v>
      </c>
      <c r="D681" s="38" t="s">
        <v>1242</v>
      </c>
      <c r="E681" s="168" t="s">
        <v>3209</v>
      </c>
      <c r="F681" s="4" t="s">
        <v>2276</v>
      </c>
      <c r="G681" s="204"/>
      <c r="H681" s="4" t="s">
        <v>2276</v>
      </c>
      <c r="I681" s="4" t="s">
        <v>2276</v>
      </c>
      <c r="J681" s="204">
        <v>1</v>
      </c>
      <c r="K681" s="19" t="s">
        <v>7851</v>
      </c>
      <c r="L681" s="204" t="s">
        <v>2276</v>
      </c>
      <c r="M681" s="204" t="s">
        <v>2276</v>
      </c>
      <c r="N681" s="204"/>
    </row>
    <row r="682" spans="1:14" ht="29">
      <c r="A682" s="19" t="s">
        <v>7688</v>
      </c>
      <c r="B682" s="204" t="s">
        <v>7830</v>
      </c>
      <c r="C682" s="38" t="s">
        <v>1105</v>
      </c>
      <c r="D682" s="38" t="s">
        <v>1242</v>
      </c>
      <c r="E682" s="168" t="s">
        <v>3209</v>
      </c>
      <c r="F682" s="4" t="s">
        <v>2276</v>
      </c>
      <c r="G682" s="204"/>
      <c r="H682" s="4" t="s">
        <v>2276</v>
      </c>
      <c r="I682" s="4" t="s">
        <v>2276</v>
      </c>
      <c r="J682" s="204">
        <v>1</v>
      </c>
      <c r="K682" s="19" t="s">
        <v>7851</v>
      </c>
      <c r="L682" s="204" t="s">
        <v>2276</v>
      </c>
      <c r="M682" s="204" t="s">
        <v>2276</v>
      </c>
      <c r="N682" s="204"/>
    </row>
    <row r="683" spans="1:14" ht="29">
      <c r="A683" s="19" t="s">
        <v>7689</v>
      </c>
      <c r="B683" s="204" t="s">
        <v>7831</v>
      </c>
      <c r="C683" s="38" t="s">
        <v>1105</v>
      </c>
      <c r="D683" s="38" t="s">
        <v>1242</v>
      </c>
      <c r="E683" s="168" t="s">
        <v>3209</v>
      </c>
      <c r="F683" s="4" t="s">
        <v>2276</v>
      </c>
      <c r="G683" s="204"/>
      <c r="H683" s="4" t="s">
        <v>2276</v>
      </c>
      <c r="I683" s="4" t="s">
        <v>2276</v>
      </c>
      <c r="J683" s="204">
        <v>1</v>
      </c>
      <c r="K683" s="19" t="s">
        <v>7851</v>
      </c>
      <c r="L683" s="204" t="s">
        <v>2276</v>
      </c>
      <c r="M683" s="204" t="s">
        <v>2276</v>
      </c>
      <c r="N683" s="204"/>
    </row>
    <row r="684" spans="1:14" ht="29">
      <c r="A684" s="19" t="s">
        <v>7690</v>
      </c>
      <c r="B684" s="204" t="s">
        <v>7832</v>
      </c>
      <c r="C684" s="38" t="s">
        <v>1105</v>
      </c>
      <c r="D684" s="38" t="s">
        <v>1242</v>
      </c>
      <c r="E684" s="168" t="s">
        <v>3209</v>
      </c>
      <c r="F684" s="4" t="s">
        <v>2276</v>
      </c>
      <c r="G684" s="204"/>
      <c r="H684" s="4" t="s">
        <v>2276</v>
      </c>
      <c r="I684" s="4" t="s">
        <v>2276</v>
      </c>
      <c r="J684" s="204">
        <v>1</v>
      </c>
      <c r="K684" s="19" t="s">
        <v>7851</v>
      </c>
      <c r="L684" s="204" t="s">
        <v>2276</v>
      </c>
      <c r="M684" s="204" t="s">
        <v>2276</v>
      </c>
      <c r="N684" s="204"/>
    </row>
    <row r="685" spans="1:14" ht="29">
      <c r="A685" s="19" t="s">
        <v>7691</v>
      </c>
      <c r="B685" s="204" t="s">
        <v>7833</v>
      </c>
      <c r="C685" s="38" t="s">
        <v>1105</v>
      </c>
      <c r="D685" s="38" t="s">
        <v>1242</v>
      </c>
      <c r="E685" s="168" t="s">
        <v>3209</v>
      </c>
      <c r="F685" s="4" t="s">
        <v>2276</v>
      </c>
      <c r="G685" s="204"/>
      <c r="H685" s="4" t="s">
        <v>2276</v>
      </c>
      <c r="I685" s="4" t="s">
        <v>2276</v>
      </c>
      <c r="J685" s="204">
        <v>1</v>
      </c>
      <c r="K685" s="19" t="s">
        <v>7851</v>
      </c>
      <c r="L685" s="204" t="s">
        <v>2276</v>
      </c>
      <c r="M685" s="204" t="s">
        <v>2276</v>
      </c>
      <c r="N685" s="204"/>
    </row>
    <row r="686" spans="1:14" ht="29">
      <c r="A686" s="19" t="s">
        <v>7692</v>
      </c>
      <c r="B686" s="204" t="s">
        <v>7834</v>
      </c>
      <c r="C686" s="38" t="s">
        <v>1105</v>
      </c>
      <c r="D686" s="38" t="s">
        <v>1242</v>
      </c>
      <c r="E686" s="168" t="s">
        <v>3209</v>
      </c>
      <c r="F686" s="4" t="s">
        <v>2276</v>
      </c>
      <c r="G686" s="204"/>
      <c r="H686" s="4" t="s">
        <v>2276</v>
      </c>
      <c r="I686" s="4" t="s">
        <v>2276</v>
      </c>
      <c r="J686" s="204">
        <v>2</v>
      </c>
      <c r="K686" s="19" t="s">
        <v>7851</v>
      </c>
      <c r="L686" s="204" t="s">
        <v>2276</v>
      </c>
      <c r="M686" s="204" t="s">
        <v>2276</v>
      </c>
      <c r="N686" s="204"/>
    </row>
    <row r="687" spans="1:14" ht="29">
      <c r="A687" s="19" t="s">
        <v>7693</v>
      </c>
      <c r="B687" s="204" t="s">
        <v>7835</v>
      </c>
      <c r="C687" s="38" t="s">
        <v>1105</v>
      </c>
      <c r="D687" s="38" t="s">
        <v>1242</v>
      </c>
      <c r="E687" s="168" t="s">
        <v>3209</v>
      </c>
      <c r="F687" s="4" t="s">
        <v>2276</v>
      </c>
      <c r="G687" s="204"/>
      <c r="H687" s="4" t="s">
        <v>2276</v>
      </c>
      <c r="I687" s="4" t="s">
        <v>2276</v>
      </c>
      <c r="J687" s="204">
        <v>0</v>
      </c>
      <c r="K687" s="19" t="s">
        <v>7851</v>
      </c>
      <c r="L687" s="204" t="s">
        <v>2276</v>
      </c>
      <c r="M687" s="204" t="s">
        <v>2276</v>
      </c>
      <c r="N687" s="204"/>
    </row>
    <row r="688" spans="1:14" ht="29">
      <c r="A688" s="19" t="s">
        <v>7761</v>
      </c>
      <c r="B688" s="204" t="s">
        <v>7836</v>
      </c>
      <c r="C688" s="38" t="s">
        <v>1105</v>
      </c>
      <c r="D688" s="38" t="s">
        <v>1242</v>
      </c>
      <c r="E688" s="168" t="s">
        <v>3209</v>
      </c>
      <c r="F688" s="4" t="s">
        <v>2276</v>
      </c>
      <c r="G688" s="204"/>
      <c r="H688" s="4" t="s">
        <v>2276</v>
      </c>
      <c r="I688" s="4" t="s">
        <v>2276</v>
      </c>
      <c r="J688" s="204">
        <v>1</v>
      </c>
      <c r="K688" s="19" t="s">
        <v>7851</v>
      </c>
      <c r="L688" s="204" t="s">
        <v>2276</v>
      </c>
      <c r="M688" s="204" t="s">
        <v>2276</v>
      </c>
      <c r="N688" s="204"/>
    </row>
    <row r="689" spans="1:14" ht="29">
      <c r="A689" s="19" t="s">
        <v>7762</v>
      </c>
      <c r="B689" s="204" t="s">
        <v>7837</v>
      </c>
      <c r="C689" s="38" t="s">
        <v>1105</v>
      </c>
      <c r="D689" s="38" t="s">
        <v>1242</v>
      </c>
      <c r="E689" s="168" t="s">
        <v>3209</v>
      </c>
      <c r="F689" s="4" t="s">
        <v>2276</v>
      </c>
      <c r="G689" s="204"/>
      <c r="H689" s="4" t="s">
        <v>2276</v>
      </c>
      <c r="I689" s="4" t="s">
        <v>2276</v>
      </c>
      <c r="J689" s="204">
        <v>2</v>
      </c>
      <c r="K689" s="19" t="s">
        <v>7851</v>
      </c>
      <c r="L689" s="204" t="s">
        <v>2276</v>
      </c>
      <c r="M689" s="204" t="s">
        <v>2276</v>
      </c>
      <c r="N689" s="204"/>
    </row>
    <row r="690" spans="1:14" ht="29">
      <c r="A690" s="19" t="s">
        <v>7763</v>
      </c>
      <c r="B690" s="204" t="s">
        <v>7838</v>
      </c>
      <c r="C690" s="38" t="s">
        <v>1105</v>
      </c>
      <c r="D690" s="38" t="s">
        <v>1242</v>
      </c>
      <c r="E690" s="168" t="s">
        <v>3209</v>
      </c>
      <c r="F690" s="4" t="s">
        <v>2276</v>
      </c>
      <c r="G690" s="204"/>
      <c r="H690" s="4" t="s">
        <v>2276</v>
      </c>
      <c r="I690" s="4" t="s">
        <v>2276</v>
      </c>
      <c r="J690" s="204">
        <v>3</v>
      </c>
      <c r="K690" s="19" t="s">
        <v>7851</v>
      </c>
      <c r="L690" s="204" t="s">
        <v>2276</v>
      </c>
      <c r="M690" s="204" t="s">
        <v>2276</v>
      </c>
      <c r="N690" s="204"/>
    </row>
    <row r="691" spans="1:14" ht="29">
      <c r="A691" s="19" t="s">
        <v>7764</v>
      </c>
      <c r="B691" s="204" t="s">
        <v>7839</v>
      </c>
      <c r="C691" s="38" t="s">
        <v>1105</v>
      </c>
      <c r="D691" s="38" t="s">
        <v>1242</v>
      </c>
      <c r="E691" s="168" t="s">
        <v>3209</v>
      </c>
      <c r="F691" s="4" t="s">
        <v>2276</v>
      </c>
      <c r="G691" s="204"/>
      <c r="H691" s="4" t="s">
        <v>2276</v>
      </c>
      <c r="I691" s="4" t="s">
        <v>2276</v>
      </c>
      <c r="J691" s="204">
        <v>3</v>
      </c>
      <c r="K691" s="19" t="s">
        <v>7851</v>
      </c>
      <c r="L691" s="204" t="s">
        <v>2276</v>
      </c>
      <c r="M691" s="204" t="s">
        <v>2276</v>
      </c>
      <c r="N691" s="204"/>
    </row>
    <row r="692" spans="1:14" ht="29">
      <c r="A692" s="19" t="s">
        <v>7765</v>
      </c>
      <c r="B692" s="204" t="s">
        <v>7840</v>
      </c>
      <c r="C692" s="38" t="s">
        <v>1105</v>
      </c>
      <c r="D692" s="38" t="s">
        <v>1242</v>
      </c>
      <c r="E692" s="168" t="s">
        <v>3209</v>
      </c>
      <c r="F692" s="4" t="s">
        <v>2276</v>
      </c>
      <c r="G692" s="204"/>
      <c r="H692" s="4" t="s">
        <v>2276</v>
      </c>
      <c r="I692" s="4" t="s">
        <v>2276</v>
      </c>
      <c r="J692" s="204">
        <v>1</v>
      </c>
      <c r="K692" s="19" t="s">
        <v>7851</v>
      </c>
      <c r="L692" s="204" t="s">
        <v>2276</v>
      </c>
      <c r="M692" s="204" t="s">
        <v>2276</v>
      </c>
      <c r="N692" s="204"/>
    </row>
    <row r="693" spans="1:14" ht="29">
      <c r="A693" s="19" t="s">
        <v>7766</v>
      </c>
      <c r="B693" s="204" t="s">
        <v>7841</v>
      </c>
      <c r="C693" s="38" t="s">
        <v>1105</v>
      </c>
      <c r="D693" s="38" t="s">
        <v>1242</v>
      </c>
      <c r="E693" s="168" t="s">
        <v>3209</v>
      </c>
      <c r="F693" s="4" t="s">
        <v>2276</v>
      </c>
      <c r="G693" s="204"/>
      <c r="H693" s="4" t="s">
        <v>2276</v>
      </c>
      <c r="I693" s="4" t="s">
        <v>2276</v>
      </c>
      <c r="J693" s="204">
        <v>2</v>
      </c>
      <c r="K693" s="19" t="s">
        <v>7851</v>
      </c>
      <c r="L693" s="204" t="s">
        <v>2276</v>
      </c>
      <c r="M693" s="204" t="s">
        <v>2276</v>
      </c>
      <c r="N693" s="204"/>
    </row>
    <row r="694" spans="1:14" ht="29">
      <c r="A694" s="19" t="s">
        <v>7767</v>
      </c>
      <c r="B694" s="204" t="s">
        <v>7842</v>
      </c>
      <c r="C694" s="38" t="s">
        <v>1105</v>
      </c>
      <c r="D694" s="38" t="s">
        <v>1242</v>
      </c>
      <c r="E694" s="168" t="s">
        <v>3209</v>
      </c>
      <c r="F694" s="4" t="s">
        <v>2276</v>
      </c>
      <c r="G694" s="204"/>
      <c r="H694" s="4" t="s">
        <v>2276</v>
      </c>
      <c r="I694" s="4" t="s">
        <v>2276</v>
      </c>
      <c r="J694" s="204">
        <v>1</v>
      </c>
      <c r="K694" s="19" t="s">
        <v>7851</v>
      </c>
      <c r="L694" s="204" t="s">
        <v>2276</v>
      </c>
      <c r="M694" s="204" t="s">
        <v>2276</v>
      </c>
      <c r="N694" s="204"/>
    </row>
    <row r="695" spans="1:14" ht="29">
      <c r="A695" s="19" t="s">
        <v>7671</v>
      </c>
      <c r="B695" s="204" t="s">
        <v>7812</v>
      </c>
      <c r="C695" s="38" t="s">
        <v>1105</v>
      </c>
      <c r="D695" s="38" t="s">
        <v>1242</v>
      </c>
      <c r="E695" s="168" t="s">
        <v>3209</v>
      </c>
      <c r="F695" s="4" t="s">
        <v>2276</v>
      </c>
      <c r="G695" s="204"/>
      <c r="H695" s="4" t="s">
        <v>2276</v>
      </c>
      <c r="I695" s="4" t="s">
        <v>2276</v>
      </c>
      <c r="J695" s="204">
        <v>1</v>
      </c>
      <c r="K695" s="19" t="s">
        <v>7851</v>
      </c>
      <c r="L695" s="204" t="s">
        <v>2276</v>
      </c>
      <c r="M695" s="204" t="s">
        <v>2276</v>
      </c>
      <c r="N695" s="204"/>
    </row>
    <row r="696" spans="1:14" ht="29">
      <c r="A696" s="19" t="s">
        <v>7768</v>
      </c>
      <c r="B696" s="204" t="s">
        <v>7843</v>
      </c>
      <c r="C696" s="38" t="s">
        <v>1105</v>
      </c>
      <c r="D696" s="38" t="s">
        <v>1242</v>
      </c>
      <c r="E696" s="168" t="s">
        <v>3209</v>
      </c>
      <c r="F696" s="4" t="s">
        <v>2276</v>
      </c>
      <c r="G696" s="204"/>
      <c r="H696" s="4" t="s">
        <v>2276</v>
      </c>
      <c r="I696" s="4" t="s">
        <v>2276</v>
      </c>
      <c r="J696" s="204">
        <v>1</v>
      </c>
      <c r="K696" s="19" t="s">
        <v>7851</v>
      </c>
      <c r="L696" s="204" t="s">
        <v>2276</v>
      </c>
      <c r="M696" s="204" t="s">
        <v>2276</v>
      </c>
      <c r="N696" s="204"/>
    </row>
    <row r="697" spans="1:14" ht="29">
      <c r="A697" s="19" t="s">
        <v>7769</v>
      </c>
      <c r="B697" s="204" t="s">
        <v>7844</v>
      </c>
      <c r="C697" s="38" t="s">
        <v>1105</v>
      </c>
      <c r="D697" s="38" t="s">
        <v>1242</v>
      </c>
      <c r="E697" s="168" t="s">
        <v>3209</v>
      </c>
      <c r="F697" s="4" t="s">
        <v>2276</v>
      </c>
      <c r="G697" s="204"/>
      <c r="H697" s="4" t="s">
        <v>2276</v>
      </c>
      <c r="I697" s="4" t="s">
        <v>2276</v>
      </c>
      <c r="J697" s="204">
        <v>0</v>
      </c>
      <c r="K697" s="19" t="s">
        <v>7851</v>
      </c>
      <c r="L697" s="204" t="s">
        <v>2276</v>
      </c>
      <c r="M697" s="204" t="s">
        <v>2276</v>
      </c>
      <c r="N697" s="204"/>
    </row>
    <row r="698" spans="1:14" ht="29">
      <c r="A698" s="19" t="s">
        <v>7770</v>
      </c>
      <c r="B698" s="204" t="s">
        <v>7845</v>
      </c>
      <c r="C698" s="38" t="s">
        <v>1105</v>
      </c>
      <c r="D698" s="38" t="s">
        <v>1242</v>
      </c>
      <c r="E698" s="168" t="s">
        <v>3209</v>
      </c>
      <c r="F698" s="4" t="s">
        <v>2276</v>
      </c>
      <c r="G698" s="204"/>
      <c r="H698" s="4" t="s">
        <v>2276</v>
      </c>
      <c r="I698" s="4" t="s">
        <v>2276</v>
      </c>
      <c r="J698" s="204">
        <v>1</v>
      </c>
      <c r="K698" s="19" t="s">
        <v>7851</v>
      </c>
      <c r="L698" s="204" t="s">
        <v>2276</v>
      </c>
      <c r="M698" s="204" t="s">
        <v>2276</v>
      </c>
      <c r="N698" s="204"/>
    </row>
    <row r="699" spans="1:14" ht="29">
      <c r="A699" s="19" t="s">
        <v>7771</v>
      </c>
      <c r="B699" s="204" t="s">
        <v>7846</v>
      </c>
      <c r="C699" s="38" t="s">
        <v>1105</v>
      </c>
      <c r="D699" s="38" t="s">
        <v>1242</v>
      </c>
      <c r="E699" s="168" t="s">
        <v>3209</v>
      </c>
      <c r="F699" s="4" t="s">
        <v>2276</v>
      </c>
      <c r="G699" s="204"/>
      <c r="H699" s="4" t="s">
        <v>2276</v>
      </c>
      <c r="I699" s="4" t="s">
        <v>2276</v>
      </c>
      <c r="J699" s="204">
        <v>1</v>
      </c>
      <c r="K699" s="19" t="s">
        <v>7851</v>
      </c>
      <c r="L699" s="204" t="s">
        <v>2276</v>
      </c>
      <c r="M699" s="204" t="s">
        <v>2276</v>
      </c>
      <c r="N699" s="204"/>
    </row>
    <row r="700" spans="1:14" ht="29">
      <c r="A700" s="19" t="s">
        <v>7772</v>
      </c>
      <c r="B700" s="204" t="s">
        <v>7847</v>
      </c>
      <c r="C700" s="38" t="s">
        <v>1105</v>
      </c>
      <c r="D700" s="38" t="s">
        <v>1242</v>
      </c>
      <c r="E700" s="168" t="s">
        <v>3209</v>
      </c>
      <c r="F700" s="4" t="s">
        <v>2276</v>
      </c>
      <c r="G700" s="204"/>
      <c r="H700" s="4" t="s">
        <v>2276</v>
      </c>
      <c r="I700" s="4" t="s">
        <v>2276</v>
      </c>
      <c r="J700" s="204">
        <v>1</v>
      </c>
      <c r="K700" s="19" t="s">
        <v>7851</v>
      </c>
      <c r="L700" s="204" t="s">
        <v>2276</v>
      </c>
      <c r="M700" s="204" t="s">
        <v>2276</v>
      </c>
      <c r="N700" s="204"/>
    </row>
    <row r="701" spans="1:14" ht="29">
      <c r="A701" s="19" t="s">
        <v>7773</v>
      </c>
      <c r="B701" s="204" t="s">
        <v>7848</v>
      </c>
      <c r="C701" s="204" t="s">
        <v>1105</v>
      </c>
      <c r="D701" s="204" t="s">
        <v>1242</v>
      </c>
      <c r="E701" s="4" t="s">
        <v>3209</v>
      </c>
      <c r="F701" s="4" t="s">
        <v>2276</v>
      </c>
      <c r="G701" s="204"/>
      <c r="H701" s="4" t="s">
        <v>2276</v>
      </c>
      <c r="I701" s="4" t="s">
        <v>2276</v>
      </c>
      <c r="J701" s="204">
        <v>1</v>
      </c>
      <c r="K701" s="19" t="s">
        <v>7851</v>
      </c>
      <c r="L701" s="204" t="s">
        <v>2276</v>
      </c>
      <c r="M701" s="204" t="s">
        <v>2276</v>
      </c>
      <c r="N701" s="204"/>
    </row>
    <row r="702" spans="1:14" ht="29">
      <c r="A702" s="19" t="s">
        <v>7774</v>
      </c>
      <c r="B702" s="204" t="s">
        <v>7849</v>
      </c>
      <c r="C702" s="204" t="s">
        <v>1105</v>
      </c>
      <c r="D702" s="204" t="s">
        <v>1242</v>
      </c>
      <c r="E702" s="4" t="s">
        <v>3209</v>
      </c>
      <c r="F702" s="4" t="s">
        <v>2276</v>
      </c>
      <c r="G702" s="204"/>
      <c r="H702" s="4" t="s">
        <v>2276</v>
      </c>
      <c r="I702" s="4" t="s">
        <v>2276</v>
      </c>
      <c r="J702" s="204">
        <v>0</v>
      </c>
      <c r="K702" s="19" t="s">
        <v>7851</v>
      </c>
      <c r="L702" s="204" t="s">
        <v>2276</v>
      </c>
      <c r="M702" s="204" t="s">
        <v>2276</v>
      </c>
      <c r="N702" s="204"/>
    </row>
    <row r="703" spans="1:14" ht="29">
      <c r="A703" s="19" t="s">
        <v>7775</v>
      </c>
      <c r="B703" s="204" t="s">
        <v>7850</v>
      </c>
      <c r="C703" s="204" t="s">
        <v>1105</v>
      </c>
      <c r="D703" s="204" t="s">
        <v>1242</v>
      </c>
      <c r="E703" s="4" t="s">
        <v>3209</v>
      </c>
      <c r="F703" s="4" t="s">
        <v>2276</v>
      </c>
      <c r="G703" s="204"/>
      <c r="H703" s="4" t="s">
        <v>2276</v>
      </c>
      <c r="I703" s="4" t="s">
        <v>2276</v>
      </c>
      <c r="J703" s="204">
        <v>2</v>
      </c>
      <c r="K703" s="19" t="s">
        <v>7851</v>
      </c>
      <c r="L703" s="204" t="s">
        <v>2276</v>
      </c>
      <c r="M703" s="204" t="s">
        <v>2276</v>
      </c>
      <c r="N703" s="204"/>
    </row>
    <row r="704" spans="1:14" ht="44.5" customHeight="1">
      <c r="A704" s="204" t="s">
        <v>7874</v>
      </c>
      <c r="B704" s="204" t="s">
        <v>7876</v>
      </c>
      <c r="C704" s="204" t="s">
        <v>24</v>
      </c>
      <c r="D704" s="204" t="s">
        <v>143</v>
      </c>
      <c r="E704" s="4" t="s">
        <v>130</v>
      </c>
      <c r="F704" s="204" t="s">
        <v>74</v>
      </c>
      <c r="G704" s="204"/>
      <c r="H704" s="204">
        <v>1</v>
      </c>
      <c r="I704" s="19" t="s">
        <v>7884</v>
      </c>
      <c r="J704" s="204" t="s">
        <v>2276</v>
      </c>
      <c r="K704" s="204" t="s">
        <v>2276</v>
      </c>
      <c r="L704" s="204" t="s">
        <v>2276</v>
      </c>
      <c r="M704" s="204" t="s">
        <v>2276</v>
      </c>
      <c r="N704" s="204"/>
    </row>
    <row r="705" spans="1:14" ht="44.5" customHeight="1">
      <c r="A705" s="204" t="s">
        <v>7874</v>
      </c>
      <c r="B705" s="204" t="s">
        <v>7877</v>
      </c>
      <c r="C705" s="204" t="s">
        <v>24</v>
      </c>
      <c r="D705" s="204" t="s">
        <v>27</v>
      </c>
      <c r="E705" s="4" t="s">
        <v>130</v>
      </c>
      <c r="F705" s="204" t="s">
        <v>160</v>
      </c>
      <c r="G705" s="204"/>
      <c r="H705" s="204">
        <v>1</v>
      </c>
      <c r="I705" s="19" t="s">
        <v>7884</v>
      </c>
      <c r="J705" s="204" t="s">
        <v>2276</v>
      </c>
      <c r="K705" s="204" t="s">
        <v>2276</v>
      </c>
      <c r="L705" s="204" t="s">
        <v>2276</v>
      </c>
      <c r="M705" s="204" t="s">
        <v>2276</v>
      </c>
      <c r="N705" s="204"/>
    </row>
    <row r="706" spans="1:14" ht="44.5" customHeight="1">
      <c r="A706" s="204" t="s">
        <v>7874</v>
      </c>
      <c r="B706" s="204" t="s">
        <v>7878</v>
      </c>
      <c r="C706" s="204" t="s">
        <v>24</v>
      </c>
      <c r="D706" s="204" t="s">
        <v>143</v>
      </c>
      <c r="E706" s="4" t="s">
        <v>3854</v>
      </c>
      <c r="F706" s="204" t="s">
        <v>74</v>
      </c>
      <c r="G706" s="204"/>
      <c r="H706" s="204">
        <v>1</v>
      </c>
      <c r="I706" s="19" t="s">
        <v>7884</v>
      </c>
      <c r="J706" s="204" t="s">
        <v>2276</v>
      </c>
      <c r="K706" s="204" t="s">
        <v>2276</v>
      </c>
      <c r="L706" s="204" t="s">
        <v>2276</v>
      </c>
      <c r="M706" s="204" t="s">
        <v>2276</v>
      </c>
      <c r="N706" s="204"/>
    </row>
    <row r="707" spans="1:14" ht="44.5" customHeight="1">
      <c r="A707" s="204" t="s">
        <v>7874</v>
      </c>
      <c r="B707" s="204" t="s">
        <v>7879</v>
      </c>
      <c r="C707" s="204" t="s">
        <v>24</v>
      </c>
      <c r="D707" s="204" t="s">
        <v>25</v>
      </c>
      <c r="E707" s="4" t="s">
        <v>3854</v>
      </c>
      <c r="F707" s="204" t="s">
        <v>29</v>
      </c>
      <c r="G707" s="204"/>
      <c r="H707" s="204">
        <v>1</v>
      </c>
      <c r="I707" s="19" t="s">
        <v>7884</v>
      </c>
      <c r="J707" s="204" t="s">
        <v>2276</v>
      </c>
      <c r="K707" s="204" t="s">
        <v>2276</v>
      </c>
      <c r="L707" s="204" t="s">
        <v>2276</v>
      </c>
      <c r="M707" s="204" t="s">
        <v>2276</v>
      </c>
      <c r="N707" s="204"/>
    </row>
    <row r="708" spans="1:14" ht="44.5" customHeight="1">
      <c r="A708" s="204" t="s">
        <v>7874</v>
      </c>
      <c r="B708" s="204" t="s">
        <v>7881</v>
      </c>
      <c r="C708" s="204" t="s">
        <v>24</v>
      </c>
      <c r="D708" s="204" t="s">
        <v>143</v>
      </c>
      <c r="E708" s="4" t="s">
        <v>45</v>
      </c>
      <c r="F708" s="204" t="s">
        <v>74</v>
      </c>
      <c r="G708" s="204"/>
      <c r="H708" s="204">
        <v>1</v>
      </c>
      <c r="I708" s="19" t="s">
        <v>7884</v>
      </c>
      <c r="J708" s="204" t="s">
        <v>2276</v>
      </c>
      <c r="K708" s="204" t="s">
        <v>2276</v>
      </c>
      <c r="L708" s="204" t="s">
        <v>2276</v>
      </c>
      <c r="M708" s="204" t="s">
        <v>2276</v>
      </c>
      <c r="N708" s="204"/>
    </row>
    <row r="709" spans="1:14" ht="44.5" customHeight="1">
      <c r="A709" s="204" t="s">
        <v>7874</v>
      </c>
      <c r="B709" s="204" t="s">
        <v>7882</v>
      </c>
      <c r="C709" s="204" t="s">
        <v>24</v>
      </c>
      <c r="D709" s="204" t="s">
        <v>25</v>
      </c>
      <c r="E709" s="4" t="s">
        <v>45</v>
      </c>
      <c r="F709" s="204" t="s">
        <v>29</v>
      </c>
      <c r="G709" s="204"/>
      <c r="H709" s="204">
        <v>1</v>
      </c>
      <c r="I709" s="19" t="s">
        <v>7884</v>
      </c>
      <c r="J709" s="204" t="s">
        <v>2276</v>
      </c>
      <c r="K709" s="204" t="s">
        <v>2276</v>
      </c>
      <c r="L709" s="204" t="s">
        <v>2276</v>
      </c>
      <c r="M709" s="204" t="s">
        <v>2276</v>
      </c>
      <c r="N709" s="204"/>
    </row>
    <row r="710" spans="1:14" ht="36" customHeight="1">
      <c r="A710" s="11" t="s">
        <v>7896</v>
      </c>
      <c r="B710" s="11" t="s">
        <v>7899</v>
      </c>
      <c r="C710" s="204" t="s">
        <v>24</v>
      </c>
      <c r="D710" s="204" t="s">
        <v>2276</v>
      </c>
      <c r="E710" s="4" t="s">
        <v>137</v>
      </c>
      <c r="F710" s="4" t="s">
        <v>2662</v>
      </c>
      <c r="G710" s="204"/>
      <c r="H710" s="204" t="s">
        <v>2276</v>
      </c>
      <c r="I710" s="204" t="s">
        <v>2276</v>
      </c>
      <c r="J710" s="204">
        <v>0</v>
      </c>
      <c r="K710" s="11" t="s">
        <v>7905</v>
      </c>
      <c r="L710" s="204" t="s">
        <v>2276</v>
      </c>
      <c r="M710" s="204" t="s">
        <v>2276</v>
      </c>
      <c r="N710" s="204"/>
    </row>
    <row r="711" spans="1:14" ht="37" customHeight="1">
      <c r="A711" s="11" t="s">
        <v>7908</v>
      </c>
      <c r="B711" s="11" t="s">
        <v>7919</v>
      </c>
      <c r="C711" s="156" t="s">
        <v>24</v>
      </c>
      <c r="D711" s="156" t="s">
        <v>144</v>
      </c>
      <c r="E711" s="156" t="s">
        <v>137</v>
      </c>
      <c r="F711" s="156" t="s">
        <v>2662</v>
      </c>
      <c r="G711" s="204"/>
      <c r="H711" s="204" t="s">
        <v>2276</v>
      </c>
      <c r="I711" s="204" t="s">
        <v>2276</v>
      </c>
      <c r="J711" s="204">
        <v>2</v>
      </c>
      <c r="K711" s="204" t="s">
        <v>7928</v>
      </c>
      <c r="L711" s="204" t="s">
        <v>2276</v>
      </c>
      <c r="M711" s="204" t="s">
        <v>2276</v>
      </c>
      <c r="N711" s="204"/>
    </row>
    <row r="712" spans="1:14" ht="37" customHeight="1">
      <c r="A712" s="204" t="s">
        <v>7911</v>
      </c>
      <c r="B712" s="204" t="s">
        <v>7920</v>
      </c>
      <c r="C712" s="156" t="s">
        <v>24</v>
      </c>
      <c r="D712" s="156" t="s">
        <v>144</v>
      </c>
      <c r="E712" s="156" t="s">
        <v>137</v>
      </c>
      <c r="F712" s="156" t="s">
        <v>2662</v>
      </c>
      <c r="G712" s="204"/>
      <c r="H712" s="204" t="s">
        <v>2276</v>
      </c>
      <c r="I712" s="204" t="s">
        <v>2276</v>
      </c>
      <c r="J712" s="204">
        <v>2</v>
      </c>
      <c r="K712" s="204" t="s">
        <v>7928</v>
      </c>
      <c r="L712" s="204" t="s">
        <v>2276</v>
      </c>
      <c r="M712" s="204" t="s">
        <v>2276</v>
      </c>
      <c r="N712" s="204"/>
    </row>
    <row r="713" spans="1:14" ht="37" customHeight="1">
      <c r="A713" s="204" t="s">
        <v>7912</v>
      </c>
      <c r="B713" s="204" t="s">
        <v>7921</v>
      </c>
      <c r="C713" s="156" t="s">
        <v>24</v>
      </c>
      <c r="D713" s="156" t="s">
        <v>144</v>
      </c>
      <c r="E713" s="156" t="s">
        <v>137</v>
      </c>
      <c r="F713" s="156" t="s">
        <v>2662</v>
      </c>
      <c r="G713" s="204"/>
      <c r="H713" s="204" t="s">
        <v>2276</v>
      </c>
      <c r="I713" s="204" t="s">
        <v>2276</v>
      </c>
      <c r="J713" s="204">
        <v>2</v>
      </c>
      <c r="K713" s="204" t="s">
        <v>7928</v>
      </c>
      <c r="L713" s="204" t="s">
        <v>2276</v>
      </c>
      <c r="M713" s="204" t="s">
        <v>2276</v>
      </c>
      <c r="N713" s="204"/>
    </row>
    <row r="714" spans="1:14" ht="37" customHeight="1">
      <c r="A714" s="204" t="s">
        <v>7913</v>
      </c>
      <c r="B714" s="204" t="s">
        <v>7922</v>
      </c>
      <c r="C714" s="156" t="s">
        <v>24</v>
      </c>
      <c r="D714" s="156" t="s">
        <v>144</v>
      </c>
      <c r="E714" s="156" t="s">
        <v>137</v>
      </c>
      <c r="F714" s="156" t="s">
        <v>2662</v>
      </c>
      <c r="G714" s="204"/>
      <c r="H714" s="204" t="s">
        <v>2276</v>
      </c>
      <c r="I714" s="204" t="s">
        <v>2276</v>
      </c>
      <c r="J714" s="204">
        <v>2</v>
      </c>
      <c r="K714" s="204" t="s">
        <v>7928</v>
      </c>
      <c r="L714" s="204" t="s">
        <v>2276</v>
      </c>
      <c r="M714" s="204" t="s">
        <v>2276</v>
      </c>
      <c r="N714" s="204"/>
    </row>
    <row r="715" spans="1:14" ht="37" customHeight="1">
      <c r="A715" s="204" t="s">
        <v>7914</v>
      </c>
      <c r="B715" s="204" t="s">
        <v>7923</v>
      </c>
      <c r="C715" s="156" t="s">
        <v>24</v>
      </c>
      <c r="D715" s="156" t="s">
        <v>25</v>
      </c>
      <c r="E715" s="156" t="s">
        <v>2647</v>
      </c>
      <c r="F715" s="156" t="s">
        <v>29</v>
      </c>
      <c r="G715" s="204"/>
      <c r="H715" s="204" t="s">
        <v>2276</v>
      </c>
      <c r="I715" s="204" t="s">
        <v>2276</v>
      </c>
      <c r="J715" s="204">
        <v>2</v>
      </c>
      <c r="K715" s="204" t="s">
        <v>7929</v>
      </c>
      <c r="L715" s="204" t="s">
        <v>2276</v>
      </c>
      <c r="M715" s="204" t="s">
        <v>2276</v>
      </c>
      <c r="N715" s="204"/>
    </row>
    <row r="716" spans="1:14" ht="37" customHeight="1">
      <c r="A716" s="204" t="s">
        <v>7915</v>
      </c>
      <c r="B716" s="204" t="s">
        <v>7924</v>
      </c>
      <c r="C716" s="156" t="s">
        <v>24</v>
      </c>
      <c r="D716" s="156" t="s">
        <v>25</v>
      </c>
      <c r="E716" s="156" t="s">
        <v>2647</v>
      </c>
      <c r="F716" s="156" t="s">
        <v>29</v>
      </c>
      <c r="G716" s="204"/>
      <c r="H716" s="204" t="s">
        <v>2276</v>
      </c>
      <c r="I716" s="204" t="s">
        <v>2276</v>
      </c>
      <c r="J716" s="204">
        <v>2</v>
      </c>
      <c r="K716" s="204" t="s">
        <v>7929</v>
      </c>
      <c r="L716" s="204" t="s">
        <v>2276</v>
      </c>
      <c r="M716" s="204" t="s">
        <v>2276</v>
      </c>
      <c r="N716" s="204"/>
    </row>
    <row r="717" spans="1:14" ht="37" customHeight="1">
      <c r="A717" s="204" t="s">
        <v>7916</v>
      </c>
      <c r="B717" s="204" t="s">
        <v>7925</v>
      </c>
      <c r="C717" s="156" t="s">
        <v>24</v>
      </c>
      <c r="D717" s="156" t="s">
        <v>25</v>
      </c>
      <c r="E717" s="156" t="s">
        <v>2647</v>
      </c>
      <c r="F717" s="156" t="s">
        <v>29</v>
      </c>
      <c r="G717" s="204"/>
      <c r="H717" s="204" t="s">
        <v>2276</v>
      </c>
      <c r="I717" s="204" t="s">
        <v>2276</v>
      </c>
      <c r="J717" s="204">
        <v>2</v>
      </c>
      <c r="K717" s="204" t="s">
        <v>7929</v>
      </c>
      <c r="L717" s="204" t="s">
        <v>2276</v>
      </c>
      <c r="M717" s="204" t="s">
        <v>2276</v>
      </c>
      <c r="N717" s="204"/>
    </row>
    <row r="718" spans="1:14" ht="37" customHeight="1">
      <c r="A718" s="204" t="s">
        <v>7917</v>
      </c>
      <c r="B718" s="204" t="s">
        <v>7926</v>
      </c>
      <c r="C718" s="156" t="s">
        <v>24</v>
      </c>
      <c r="D718" s="204" t="s">
        <v>2276</v>
      </c>
      <c r="E718" s="152" t="s">
        <v>5005</v>
      </c>
      <c r="F718" s="152" t="s">
        <v>2662</v>
      </c>
      <c r="G718" s="204"/>
      <c r="H718" s="204" t="s">
        <v>2276</v>
      </c>
      <c r="I718" s="204" t="s">
        <v>2276</v>
      </c>
      <c r="J718" s="204">
        <v>2</v>
      </c>
      <c r="K718" s="204" t="s">
        <v>7930</v>
      </c>
      <c r="L718" s="204" t="s">
        <v>2276</v>
      </c>
      <c r="M718" s="204" t="s">
        <v>2276</v>
      </c>
      <c r="N718" s="204"/>
    </row>
    <row r="719" spans="1:14" ht="32" customHeight="1">
      <c r="A719" s="4" t="s">
        <v>7941</v>
      </c>
      <c r="B719" s="19" t="s">
        <v>7963</v>
      </c>
      <c r="C719" s="4" t="s">
        <v>1105</v>
      </c>
      <c r="D719" s="4" t="s">
        <v>1105</v>
      </c>
      <c r="E719" s="4" t="s">
        <v>5801</v>
      </c>
      <c r="F719" s="4" t="s">
        <v>2662</v>
      </c>
      <c r="G719" s="4"/>
      <c r="H719" s="204" t="s">
        <v>2276</v>
      </c>
      <c r="I719" s="204" t="s">
        <v>2276</v>
      </c>
      <c r="J719" s="204">
        <v>0</v>
      </c>
      <c r="K719" s="11" t="s">
        <v>5801</v>
      </c>
      <c r="L719" s="204" t="s">
        <v>2276</v>
      </c>
      <c r="M719" s="204" t="s">
        <v>2276</v>
      </c>
      <c r="N719" s="204"/>
    </row>
    <row r="720" spans="1:14" ht="32" customHeight="1">
      <c r="A720" s="4" t="s">
        <v>7941</v>
      </c>
      <c r="B720" s="19" t="s">
        <v>7964</v>
      </c>
      <c r="C720" s="4" t="s">
        <v>1105</v>
      </c>
      <c r="D720" s="4" t="s">
        <v>1105</v>
      </c>
      <c r="E720" s="4" t="s">
        <v>5801</v>
      </c>
      <c r="F720" s="4" t="s">
        <v>2662</v>
      </c>
      <c r="G720" s="4"/>
      <c r="H720" s="204" t="s">
        <v>2276</v>
      </c>
      <c r="I720" s="204" t="s">
        <v>2276</v>
      </c>
      <c r="J720" s="204">
        <v>0</v>
      </c>
      <c r="K720" s="11" t="s">
        <v>5801</v>
      </c>
      <c r="L720" s="204" t="s">
        <v>2276</v>
      </c>
      <c r="M720" s="204" t="s">
        <v>2276</v>
      </c>
      <c r="N720" s="204"/>
    </row>
    <row r="721" spans="1:14" ht="32" customHeight="1">
      <c r="A721" s="4" t="s">
        <v>7941</v>
      </c>
      <c r="B721" s="19" t="s">
        <v>7965</v>
      </c>
      <c r="C721" s="4" t="s">
        <v>1105</v>
      </c>
      <c r="D721" s="4" t="s">
        <v>1105</v>
      </c>
      <c r="E721" s="4" t="s">
        <v>5801</v>
      </c>
      <c r="F721" s="4" t="s">
        <v>2662</v>
      </c>
      <c r="G721" s="4"/>
      <c r="H721" s="204" t="s">
        <v>2276</v>
      </c>
      <c r="I721" s="204" t="s">
        <v>2276</v>
      </c>
      <c r="J721" s="204">
        <v>0</v>
      </c>
      <c r="K721" s="11" t="s">
        <v>5801</v>
      </c>
      <c r="L721" s="204" t="s">
        <v>2276</v>
      </c>
      <c r="M721" s="204" t="s">
        <v>2276</v>
      </c>
      <c r="N721" s="204"/>
    </row>
    <row r="722" spans="1:14" ht="32" customHeight="1">
      <c r="A722" s="4" t="s">
        <v>7941</v>
      </c>
      <c r="B722" s="19" t="s">
        <v>7966</v>
      </c>
      <c r="C722" s="4" t="s">
        <v>1105</v>
      </c>
      <c r="D722" s="4" t="s">
        <v>1105</v>
      </c>
      <c r="E722" s="4" t="s">
        <v>5801</v>
      </c>
      <c r="F722" s="4" t="s">
        <v>2662</v>
      </c>
      <c r="G722" s="4"/>
      <c r="H722" s="204" t="s">
        <v>2276</v>
      </c>
      <c r="I722" s="204" t="s">
        <v>2276</v>
      </c>
      <c r="J722" s="204">
        <v>0</v>
      </c>
      <c r="K722" s="11" t="s">
        <v>5801</v>
      </c>
      <c r="L722" s="204" t="s">
        <v>2276</v>
      </c>
      <c r="M722" s="204" t="s">
        <v>2276</v>
      </c>
      <c r="N722" s="204"/>
    </row>
    <row r="723" spans="1:14" ht="32" customHeight="1">
      <c r="A723" s="4" t="s">
        <v>7941</v>
      </c>
      <c r="B723" s="19" t="s">
        <v>7967</v>
      </c>
      <c r="C723" s="4" t="s">
        <v>1105</v>
      </c>
      <c r="D723" s="4" t="s">
        <v>1105</v>
      </c>
      <c r="E723" s="4" t="s">
        <v>5801</v>
      </c>
      <c r="F723" s="4" t="s">
        <v>2662</v>
      </c>
      <c r="G723" s="4"/>
      <c r="H723" s="204" t="s">
        <v>2276</v>
      </c>
      <c r="I723" s="204" t="s">
        <v>2276</v>
      </c>
      <c r="J723" s="204">
        <v>0</v>
      </c>
      <c r="K723" s="11" t="s">
        <v>5801</v>
      </c>
      <c r="L723" s="204" t="s">
        <v>2276</v>
      </c>
      <c r="M723" s="204" t="s">
        <v>2276</v>
      </c>
      <c r="N723" s="204"/>
    </row>
    <row r="724" spans="1:14" ht="28" customHeight="1">
      <c r="A724" s="204" t="s">
        <v>7976</v>
      </c>
      <c r="B724" s="19" t="s">
        <v>7983</v>
      </c>
      <c r="C724" s="204" t="s">
        <v>1105</v>
      </c>
      <c r="D724" s="204" t="s">
        <v>1105</v>
      </c>
      <c r="E724" s="4" t="s">
        <v>5801</v>
      </c>
      <c r="F724" s="204" t="s">
        <v>55</v>
      </c>
      <c r="G724" s="204"/>
      <c r="H724" s="204" t="s">
        <v>2276</v>
      </c>
      <c r="I724" s="204" t="s">
        <v>2276</v>
      </c>
      <c r="J724" s="204">
        <v>2</v>
      </c>
      <c r="K724" s="11" t="s">
        <v>7987</v>
      </c>
      <c r="L724" s="204" t="s">
        <v>2276</v>
      </c>
      <c r="M724" s="204" t="s">
        <v>2276</v>
      </c>
      <c r="N724" s="204"/>
    </row>
    <row r="725" spans="1:14" ht="25.5" customHeight="1">
      <c r="A725" s="19" t="s">
        <v>7977</v>
      </c>
      <c r="B725" s="19" t="s">
        <v>7980</v>
      </c>
      <c r="C725" s="204" t="s">
        <v>1105</v>
      </c>
      <c r="D725" s="204" t="s">
        <v>1105</v>
      </c>
      <c r="E725" s="4" t="s">
        <v>5801</v>
      </c>
      <c r="F725" s="204" t="s">
        <v>55</v>
      </c>
      <c r="G725" s="204"/>
      <c r="H725" s="204" t="s">
        <v>2276</v>
      </c>
      <c r="I725" s="204" t="s">
        <v>2276</v>
      </c>
      <c r="J725" s="204">
        <v>2</v>
      </c>
      <c r="K725" s="11" t="s">
        <v>7987</v>
      </c>
      <c r="L725" s="204" t="s">
        <v>2276</v>
      </c>
      <c r="M725" s="204" t="s">
        <v>2276</v>
      </c>
      <c r="N725" s="204"/>
    </row>
    <row r="726" spans="1:14" ht="29">
      <c r="A726" s="19" t="s">
        <v>7977</v>
      </c>
      <c r="B726" s="19" t="s">
        <v>7981</v>
      </c>
      <c r="C726" s="204" t="s">
        <v>1105</v>
      </c>
      <c r="D726" s="204" t="s">
        <v>1105</v>
      </c>
      <c r="E726" s="4" t="s">
        <v>5801</v>
      </c>
      <c r="F726" s="204" t="s">
        <v>55</v>
      </c>
      <c r="G726" s="204"/>
      <c r="H726" s="204" t="s">
        <v>2276</v>
      </c>
      <c r="I726" s="204" t="s">
        <v>2276</v>
      </c>
      <c r="J726" s="204">
        <v>0</v>
      </c>
      <c r="K726" s="11" t="s">
        <v>5801</v>
      </c>
      <c r="L726" s="204" t="s">
        <v>2276</v>
      </c>
      <c r="M726" s="204" t="s">
        <v>2276</v>
      </c>
      <c r="N726" s="204"/>
    </row>
    <row r="727" spans="1:14" ht="32.5" customHeight="1">
      <c r="A727" s="19" t="s">
        <v>8013</v>
      </c>
      <c r="B727" s="19" t="s">
        <v>8015</v>
      </c>
      <c r="C727" s="204" t="s">
        <v>1105</v>
      </c>
      <c r="D727" s="204" t="s">
        <v>1105</v>
      </c>
      <c r="E727" s="4" t="s">
        <v>5801</v>
      </c>
      <c r="F727" s="4" t="s">
        <v>2662</v>
      </c>
      <c r="G727" s="204"/>
      <c r="H727" s="204" t="s">
        <v>2276</v>
      </c>
      <c r="I727" s="204" t="s">
        <v>2276</v>
      </c>
      <c r="J727" s="204">
        <v>0</v>
      </c>
      <c r="K727" s="11" t="s">
        <v>5801</v>
      </c>
      <c r="L727" s="204" t="s">
        <v>2276</v>
      </c>
      <c r="M727" s="204" t="s">
        <v>2276</v>
      </c>
      <c r="N727" s="204"/>
    </row>
    <row r="728" spans="1:14" ht="30.5" customHeight="1">
      <c r="A728" s="19" t="s">
        <v>8019</v>
      </c>
      <c r="B728" s="19" t="s">
        <v>8023</v>
      </c>
      <c r="C728" s="204" t="s">
        <v>1105</v>
      </c>
      <c r="D728" s="204" t="s">
        <v>1105</v>
      </c>
      <c r="E728" s="4" t="s">
        <v>137</v>
      </c>
      <c r="F728" s="4" t="s">
        <v>2662</v>
      </c>
      <c r="G728" s="204"/>
      <c r="H728" s="204" t="s">
        <v>2276</v>
      </c>
      <c r="I728" s="204" t="s">
        <v>2276</v>
      </c>
      <c r="J728" s="204">
        <v>0</v>
      </c>
      <c r="K728" s="11" t="s">
        <v>8026</v>
      </c>
      <c r="L728" s="204" t="s">
        <v>2276</v>
      </c>
      <c r="M728" s="204" t="s">
        <v>2276</v>
      </c>
      <c r="N728" s="204"/>
    </row>
    <row r="729" spans="1:14" ht="31" customHeight="1">
      <c r="A729" s="19" t="s">
        <v>8020</v>
      </c>
      <c r="B729" s="19" t="s">
        <v>8024</v>
      </c>
      <c r="C729" s="204" t="s">
        <v>1105</v>
      </c>
      <c r="D729" s="204" t="s">
        <v>1105</v>
      </c>
      <c r="E729" s="4" t="s">
        <v>45</v>
      </c>
      <c r="F729" s="4" t="s">
        <v>2662</v>
      </c>
      <c r="G729" s="204"/>
      <c r="H729" s="204" t="s">
        <v>2276</v>
      </c>
      <c r="I729" s="204" t="s">
        <v>2276</v>
      </c>
      <c r="J729" s="204">
        <v>2</v>
      </c>
      <c r="K729" s="204" t="s">
        <v>8025</v>
      </c>
      <c r="L729" s="204" t="s">
        <v>2276</v>
      </c>
      <c r="M729" s="204" t="s">
        <v>2276</v>
      </c>
      <c r="N729" s="204"/>
    </row>
    <row r="730" spans="1:14" ht="33.5" customHeight="1">
      <c r="A730" s="4" t="s">
        <v>8030</v>
      </c>
      <c r="B730" s="4" t="s">
        <v>8033</v>
      </c>
      <c r="C730" s="4" t="s">
        <v>24</v>
      </c>
      <c r="D730" s="4" t="s">
        <v>1245</v>
      </c>
      <c r="E730" s="4" t="s">
        <v>116</v>
      </c>
      <c r="F730" s="4" t="s">
        <v>2662</v>
      </c>
      <c r="G730" s="204"/>
      <c r="H730" s="204">
        <v>2</v>
      </c>
      <c r="I730" s="204" t="s">
        <v>8035</v>
      </c>
      <c r="J730" s="204" t="s">
        <v>2276</v>
      </c>
      <c r="K730" s="204" t="s">
        <v>2276</v>
      </c>
      <c r="L730" s="204" t="s">
        <v>2276</v>
      </c>
      <c r="M730" s="204" t="s">
        <v>2276</v>
      </c>
      <c r="N730" s="204"/>
    </row>
    <row r="731" spans="1:14" ht="29.5" customHeight="1">
      <c r="A731" s="19" t="s">
        <v>8038</v>
      </c>
      <c r="B731" s="19" t="s">
        <v>8041</v>
      </c>
      <c r="C731" s="204" t="s">
        <v>1105</v>
      </c>
      <c r="D731" s="204" t="s">
        <v>1105</v>
      </c>
      <c r="E731" s="4" t="s">
        <v>3209</v>
      </c>
      <c r="F731" s="204" t="s">
        <v>55</v>
      </c>
      <c r="G731" s="204"/>
      <c r="H731" s="204"/>
      <c r="I731" s="204"/>
      <c r="J731" s="204"/>
      <c r="K731" s="204"/>
      <c r="L731" s="204">
        <v>3</v>
      </c>
      <c r="M731" s="204" t="s">
        <v>8046</v>
      </c>
      <c r="N731" s="204"/>
    </row>
    <row r="732" spans="1:14" ht="100" customHeight="1">
      <c r="A732" s="19" t="s">
        <v>8038</v>
      </c>
      <c r="B732" s="19" t="s">
        <v>8044</v>
      </c>
      <c r="C732" s="204" t="s">
        <v>1105</v>
      </c>
      <c r="D732" s="204" t="s">
        <v>1105</v>
      </c>
      <c r="E732" s="4" t="s">
        <v>3209</v>
      </c>
      <c r="F732" s="204" t="s">
        <v>74</v>
      </c>
      <c r="G732" s="204"/>
      <c r="H732" s="204" t="s">
        <v>2276</v>
      </c>
      <c r="I732" s="204" t="s">
        <v>2276</v>
      </c>
      <c r="J732" s="204" t="s">
        <v>2276</v>
      </c>
      <c r="K732" s="204" t="s">
        <v>2276</v>
      </c>
      <c r="L732" s="204">
        <v>1</v>
      </c>
      <c r="M732" s="4" t="s">
        <v>8047</v>
      </c>
      <c r="N732" s="204"/>
    </row>
    <row r="733" spans="1:14" ht="29.5" customHeight="1">
      <c r="A733" s="19" t="s">
        <v>8040</v>
      </c>
      <c r="B733" s="19" t="s">
        <v>8042</v>
      </c>
      <c r="C733" s="204" t="s">
        <v>1105</v>
      </c>
      <c r="D733" s="204" t="s">
        <v>1105</v>
      </c>
      <c r="E733" s="4" t="s">
        <v>3209</v>
      </c>
      <c r="F733" s="204" t="s">
        <v>55</v>
      </c>
      <c r="G733" s="204"/>
      <c r="H733" s="204" t="s">
        <v>2276</v>
      </c>
      <c r="I733" s="204" t="s">
        <v>2276</v>
      </c>
      <c r="J733" s="204" t="s">
        <v>2276</v>
      </c>
      <c r="K733" s="204" t="s">
        <v>2276</v>
      </c>
      <c r="L733" s="204">
        <v>3</v>
      </c>
      <c r="M733" s="204"/>
      <c r="N733" s="204"/>
    </row>
    <row r="734" spans="1:14" ht="93.5" customHeight="1">
      <c r="A734" s="19" t="s">
        <v>8040</v>
      </c>
      <c r="B734" s="19" t="s">
        <v>8045</v>
      </c>
      <c r="C734" s="204" t="s">
        <v>1105</v>
      </c>
      <c r="D734" s="204" t="s">
        <v>1105</v>
      </c>
      <c r="E734" s="4" t="s">
        <v>3209</v>
      </c>
      <c r="F734" s="204" t="s">
        <v>74</v>
      </c>
      <c r="G734" s="204"/>
      <c r="H734" s="204" t="s">
        <v>2276</v>
      </c>
      <c r="I734" s="204" t="s">
        <v>2276</v>
      </c>
      <c r="J734" s="204" t="s">
        <v>2276</v>
      </c>
      <c r="K734" s="204" t="s">
        <v>2276</v>
      </c>
      <c r="L734" s="204">
        <v>1</v>
      </c>
      <c r="M734" s="4" t="s">
        <v>8047</v>
      </c>
      <c r="N734" s="204"/>
    </row>
    <row r="735" spans="1:14" ht="28.5" customHeight="1">
      <c r="A735" s="19" t="s">
        <v>8038</v>
      </c>
      <c r="B735" s="19" t="s">
        <v>8049</v>
      </c>
      <c r="C735" s="204" t="s">
        <v>24</v>
      </c>
      <c r="D735" s="204" t="s">
        <v>2804</v>
      </c>
      <c r="E735" s="4" t="s">
        <v>2647</v>
      </c>
      <c r="F735" s="4" t="s">
        <v>2662</v>
      </c>
      <c r="G735" s="204"/>
      <c r="H735" s="204">
        <v>2</v>
      </c>
      <c r="I735" s="11" t="s">
        <v>8053</v>
      </c>
      <c r="J735" s="204" t="s">
        <v>2276</v>
      </c>
      <c r="K735" s="204" t="s">
        <v>2276</v>
      </c>
      <c r="L735" s="204" t="s">
        <v>2276</v>
      </c>
      <c r="M735" s="204" t="s">
        <v>2276</v>
      </c>
      <c r="N735" s="204"/>
    </row>
    <row r="736" spans="1:14" ht="28.5" customHeight="1">
      <c r="A736" s="19" t="s">
        <v>8040</v>
      </c>
      <c r="B736" s="19" t="s">
        <v>8050</v>
      </c>
      <c r="C736" s="204" t="s">
        <v>24</v>
      </c>
      <c r="D736" s="204" t="s">
        <v>2804</v>
      </c>
      <c r="E736" s="4" t="s">
        <v>2647</v>
      </c>
      <c r="F736" s="4" t="s">
        <v>2662</v>
      </c>
      <c r="G736" s="204"/>
      <c r="H736" s="204">
        <v>2</v>
      </c>
      <c r="I736" s="11" t="s">
        <v>8053</v>
      </c>
      <c r="J736" s="204" t="s">
        <v>2276</v>
      </c>
      <c r="K736" s="204" t="s">
        <v>2276</v>
      </c>
      <c r="L736" s="204" t="s">
        <v>2276</v>
      </c>
      <c r="M736" s="204" t="s">
        <v>2276</v>
      </c>
      <c r="N736" s="204"/>
    </row>
    <row r="737" spans="1:14" ht="28.5" customHeight="1">
      <c r="A737" s="19" t="s">
        <v>8038</v>
      </c>
      <c r="B737" s="19" t="s">
        <v>8051</v>
      </c>
      <c r="C737" s="204" t="s">
        <v>24</v>
      </c>
      <c r="D737" s="204" t="s">
        <v>2804</v>
      </c>
      <c r="E737" s="4" t="s">
        <v>45</v>
      </c>
      <c r="F737" s="4" t="s">
        <v>2662</v>
      </c>
      <c r="G737" s="204"/>
      <c r="H737" s="204">
        <v>2</v>
      </c>
      <c r="I737" s="11" t="s">
        <v>8053</v>
      </c>
      <c r="J737" s="204" t="s">
        <v>2276</v>
      </c>
      <c r="K737" s="204" t="s">
        <v>2276</v>
      </c>
      <c r="L737" s="204" t="s">
        <v>2276</v>
      </c>
      <c r="M737" s="204" t="s">
        <v>2276</v>
      </c>
      <c r="N737" s="204"/>
    </row>
    <row r="738" spans="1:14" ht="28.5" customHeight="1">
      <c r="A738" s="19" t="s">
        <v>8040</v>
      </c>
      <c r="B738" s="19" t="s">
        <v>8052</v>
      </c>
      <c r="C738" s="204" t="s">
        <v>24</v>
      </c>
      <c r="D738" s="204" t="s">
        <v>2804</v>
      </c>
      <c r="E738" s="4" t="s">
        <v>45</v>
      </c>
      <c r="F738" s="4" t="s">
        <v>2662</v>
      </c>
      <c r="G738" s="204"/>
      <c r="H738" s="204">
        <v>2</v>
      </c>
      <c r="I738" s="11" t="s">
        <v>8053</v>
      </c>
      <c r="J738" s="204" t="s">
        <v>2276</v>
      </c>
      <c r="K738" s="204" t="s">
        <v>2276</v>
      </c>
      <c r="L738" s="204" t="s">
        <v>2276</v>
      </c>
      <c r="M738" s="204" t="s">
        <v>2276</v>
      </c>
      <c r="N738" s="204"/>
    </row>
    <row r="739" spans="1:14" ht="33" customHeight="1">
      <c r="A739" s="19" t="s">
        <v>8104</v>
      </c>
      <c r="B739" s="19" t="s">
        <v>8108</v>
      </c>
      <c r="C739" s="204" t="s">
        <v>24</v>
      </c>
      <c r="D739" s="204" t="s">
        <v>2804</v>
      </c>
      <c r="E739" s="4" t="s">
        <v>45</v>
      </c>
      <c r="F739" s="4" t="s">
        <v>2662</v>
      </c>
      <c r="G739" s="204"/>
      <c r="H739" s="204">
        <v>0</v>
      </c>
      <c r="I739" s="4" t="s">
        <v>8111</v>
      </c>
      <c r="J739" s="204" t="s">
        <v>2276</v>
      </c>
      <c r="K739" s="204" t="s">
        <v>2276</v>
      </c>
      <c r="L739" s="204" t="s">
        <v>2276</v>
      </c>
      <c r="M739" s="204" t="s">
        <v>2276</v>
      </c>
      <c r="N739" s="204"/>
    </row>
    <row r="740" spans="1:14" ht="32" customHeight="1">
      <c r="A740" s="55" t="s">
        <v>8158</v>
      </c>
      <c r="B740" s="55" t="s">
        <v>8160</v>
      </c>
      <c r="C740" s="38" t="s">
        <v>24</v>
      </c>
      <c r="D740" s="38" t="s">
        <v>1245</v>
      </c>
      <c r="E740" s="168" t="s">
        <v>116</v>
      </c>
      <c r="F740" s="168" t="s">
        <v>2662</v>
      </c>
      <c r="G740" s="38"/>
      <c r="H740" s="38">
        <v>2</v>
      </c>
      <c r="I740" s="35" t="s">
        <v>8163</v>
      </c>
      <c r="J740" s="38">
        <v>2</v>
      </c>
      <c r="K740" s="35" t="s">
        <v>8164</v>
      </c>
      <c r="L740" s="38" t="s">
        <v>2276</v>
      </c>
      <c r="M740" s="38" t="s">
        <v>2276</v>
      </c>
      <c r="N740" s="204"/>
    </row>
    <row r="741" spans="1:14" ht="37.5" customHeight="1">
      <c r="A741" s="19" t="s">
        <v>8167</v>
      </c>
      <c r="B741" s="19" t="s">
        <v>8171</v>
      </c>
      <c r="C741" s="4" t="s">
        <v>24</v>
      </c>
      <c r="D741" s="4" t="s">
        <v>1242</v>
      </c>
      <c r="E741" s="4" t="s">
        <v>116</v>
      </c>
      <c r="F741" s="4" t="s">
        <v>2662</v>
      </c>
      <c r="G741" s="4"/>
      <c r="H741" s="204" t="s">
        <v>2276</v>
      </c>
      <c r="I741" s="204" t="s">
        <v>2276</v>
      </c>
      <c r="J741" s="204">
        <v>2</v>
      </c>
      <c r="K741" s="11" t="s">
        <v>8164</v>
      </c>
      <c r="L741" s="204" t="s">
        <v>2276</v>
      </c>
      <c r="M741" s="204" t="s">
        <v>2276</v>
      </c>
      <c r="N741" s="204"/>
    </row>
    <row r="742" spans="1:14" ht="37.5" customHeight="1">
      <c r="A742" s="4" t="s">
        <v>8167</v>
      </c>
      <c r="B742" s="4" t="s">
        <v>8172</v>
      </c>
      <c r="C742" s="4" t="s">
        <v>24</v>
      </c>
      <c r="D742" s="4" t="s">
        <v>1242</v>
      </c>
      <c r="E742" s="4" t="s">
        <v>130</v>
      </c>
      <c r="F742" s="4" t="s">
        <v>28</v>
      </c>
      <c r="G742" s="4"/>
      <c r="H742" s="204" t="s">
        <v>2276</v>
      </c>
      <c r="I742" s="204" t="s">
        <v>2276</v>
      </c>
      <c r="J742" s="204">
        <v>1</v>
      </c>
      <c r="K742" s="11" t="s">
        <v>8188</v>
      </c>
      <c r="L742" s="204" t="s">
        <v>2276</v>
      </c>
      <c r="M742" s="204" t="s">
        <v>2276</v>
      </c>
      <c r="N742" s="204"/>
    </row>
    <row r="743" spans="1:14" ht="33.5" customHeight="1">
      <c r="A743" s="19" t="s">
        <v>8191</v>
      </c>
      <c r="B743" s="19" t="s">
        <v>8194</v>
      </c>
      <c r="C743" s="4" t="s">
        <v>24</v>
      </c>
      <c r="D743" s="204" t="s">
        <v>1242</v>
      </c>
      <c r="E743" s="4" t="s">
        <v>137</v>
      </c>
      <c r="F743" s="4" t="s">
        <v>2662</v>
      </c>
      <c r="G743" s="204"/>
      <c r="H743" s="204" t="s">
        <v>2276</v>
      </c>
      <c r="I743" s="204" t="s">
        <v>2276</v>
      </c>
      <c r="J743" s="204">
        <v>2</v>
      </c>
      <c r="K743" s="204" t="s">
        <v>8198</v>
      </c>
      <c r="L743" s="204" t="s">
        <v>2276</v>
      </c>
      <c r="M743" s="204" t="s">
        <v>2276</v>
      </c>
      <c r="N743" s="204"/>
    </row>
    <row r="744" spans="1:14" ht="38" customHeight="1">
      <c r="A744" s="19" t="s">
        <v>8257</v>
      </c>
      <c r="B744" s="19" t="s">
        <v>8259</v>
      </c>
      <c r="C744" s="4" t="s">
        <v>24</v>
      </c>
      <c r="D744" s="204" t="s">
        <v>1242</v>
      </c>
      <c r="E744" s="4" t="s">
        <v>116</v>
      </c>
      <c r="F744" s="4" t="s">
        <v>2662</v>
      </c>
      <c r="G744" s="204"/>
      <c r="H744" s="204">
        <v>2</v>
      </c>
      <c r="I744" s="11" t="s">
        <v>8269</v>
      </c>
      <c r="J744" s="204">
        <v>2</v>
      </c>
      <c r="K744" s="11" t="s">
        <v>8270</v>
      </c>
      <c r="L744" s="204" t="s">
        <v>2276</v>
      </c>
      <c r="M744" s="204" t="s">
        <v>2276</v>
      </c>
      <c r="N744" s="204"/>
    </row>
    <row r="745" spans="1:14" ht="33" customHeight="1">
      <c r="A745" s="19" t="s">
        <v>8271</v>
      </c>
      <c r="B745" s="19" t="s">
        <v>8275</v>
      </c>
      <c r="C745" s="4" t="s">
        <v>24</v>
      </c>
      <c r="D745" s="204" t="s">
        <v>1105</v>
      </c>
      <c r="E745" s="4" t="s">
        <v>116</v>
      </c>
      <c r="F745" s="204" t="s">
        <v>74</v>
      </c>
      <c r="G745" s="204"/>
      <c r="H745" s="204">
        <v>2</v>
      </c>
      <c r="I745" s="4" t="s">
        <v>8279</v>
      </c>
      <c r="J745" s="204" t="s">
        <v>2276</v>
      </c>
      <c r="K745" s="204" t="s">
        <v>2276</v>
      </c>
      <c r="L745" s="204">
        <v>1</v>
      </c>
      <c r="M745" s="4" t="s">
        <v>8278</v>
      </c>
      <c r="N745" s="204"/>
    </row>
    <row r="746" spans="1:14" ht="35.5" customHeight="1">
      <c r="A746" s="19" t="s">
        <v>8271</v>
      </c>
      <c r="B746" s="19" t="s">
        <v>8276</v>
      </c>
      <c r="C746" s="204" t="s">
        <v>1105</v>
      </c>
      <c r="D746" s="204" t="s">
        <v>1105</v>
      </c>
      <c r="E746" s="4" t="s">
        <v>3209</v>
      </c>
      <c r="F746" s="204" t="s">
        <v>74</v>
      </c>
      <c r="G746" s="204"/>
      <c r="H746" s="204" t="s">
        <v>2276</v>
      </c>
      <c r="I746" s="204" t="s">
        <v>2276</v>
      </c>
      <c r="J746" s="204" t="s">
        <v>2276</v>
      </c>
      <c r="K746" s="204" t="s">
        <v>2276</v>
      </c>
      <c r="L746" s="204">
        <v>3</v>
      </c>
      <c r="M746" s="4" t="s">
        <v>8277</v>
      </c>
      <c r="N746" s="204"/>
    </row>
    <row r="747" spans="1:14" ht="34.5" customHeight="1">
      <c r="A747" s="19" t="s">
        <v>8284</v>
      </c>
      <c r="B747" s="19" t="s">
        <v>8288</v>
      </c>
      <c r="C747" s="4" t="s">
        <v>24</v>
      </c>
      <c r="D747" s="204" t="s">
        <v>1242</v>
      </c>
      <c r="E747" s="4" t="s">
        <v>116</v>
      </c>
      <c r="F747" s="4" t="s">
        <v>2662</v>
      </c>
      <c r="G747" s="204"/>
      <c r="H747" s="204" t="s">
        <v>2276</v>
      </c>
      <c r="I747" s="204" t="s">
        <v>2276</v>
      </c>
      <c r="J747" s="204">
        <v>2</v>
      </c>
      <c r="K747" s="4" t="s">
        <v>8295</v>
      </c>
      <c r="L747" s="204" t="s">
        <v>2276</v>
      </c>
      <c r="M747" s="204" t="s">
        <v>2276</v>
      </c>
      <c r="N747" s="204"/>
    </row>
    <row r="748" spans="1:14" ht="34.5" customHeight="1">
      <c r="A748" s="19" t="s">
        <v>8285</v>
      </c>
      <c r="B748" s="19" t="s">
        <v>8289</v>
      </c>
      <c r="C748" s="4" t="s">
        <v>24</v>
      </c>
      <c r="D748" s="204" t="s">
        <v>1242</v>
      </c>
      <c r="E748" s="4" t="s">
        <v>116</v>
      </c>
      <c r="F748" s="4" t="s">
        <v>2662</v>
      </c>
      <c r="G748" s="204"/>
      <c r="H748" s="204" t="s">
        <v>2276</v>
      </c>
      <c r="I748" s="204" t="s">
        <v>2276</v>
      </c>
      <c r="J748" s="204">
        <v>2</v>
      </c>
      <c r="K748" s="4" t="s">
        <v>8295</v>
      </c>
      <c r="L748" s="204" t="s">
        <v>2276</v>
      </c>
      <c r="M748" s="204" t="s">
        <v>2276</v>
      </c>
      <c r="N748" s="204"/>
    </row>
    <row r="749" spans="1:14" ht="34.5" customHeight="1">
      <c r="A749" s="19" t="s">
        <v>8286</v>
      </c>
      <c r="B749" s="19" t="s">
        <v>8290</v>
      </c>
      <c r="C749" s="4" t="s">
        <v>24</v>
      </c>
      <c r="D749" s="204" t="s">
        <v>1242</v>
      </c>
      <c r="E749" s="4" t="s">
        <v>116</v>
      </c>
      <c r="F749" s="4" t="s">
        <v>2662</v>
      </c>
      <c r="G749" s="204"/>
      <c r="H749" s="204" t="s">
        <v>2276</v>
      </c>
      <c r="I749" s="204" t="s">
        <v>2276</v>
      </c>
      <c r="J749" s="204">
        <v>2</v>
      </c>
      <c r="K749" s="4" t="s">
        <v>8295</v>
      </c>
      <c r="L749" s="204" t="s">
        <v>2276</v>
      </c>
      <c r="M749" s="204" t="s">
        <v>2276</v>
      </c>
      <c r="N749" s="204"/>
    </row>
    <row r="750" spans="1:14" ht="29">
      <c r="A750" s="19" t="s">
        <v>8284</v>
      </c>
      <c r="B750" s="19" t="s">
        <v>8293</v>
      </c>
      <c r="C750" s="4" t="s">
        <v>24</v>
      </c>
      <c r="D750" s="204" t="s">
        <v>1242</v>
      </c>
      <c r="E750" s="4" t="s">
        <v>3209</v>
      </c>
      <c r="F750" s="4" t="s">
        <v>2662</v>
      </c>
      <c r="G750" s="204"/>
      <c r="H750" s="204" t="s">
        <v>2276</v>
      </c>
      <c r="I750" s="204" t="s">
        <v>2276</v>
      </c>
      <c r="J750" s="204">
        <v>2</v>
      </c>
      <c r="K750" s="4" t="s">
        <v>8295</v>
      </c>
      <c r="L750" s="204" t="s">
        <v>2276</v>
      </c>
      <c r="M750" s="204" t="s">
        <v>2276</v>
      </c>
      <c r="N750" s="204"/>
    </row>
    <row r="751" spans="1:14" ht="29">
      <c r="A751" s="19" t="s">
        <v>8285</v>
      </c>
      <c r="B751" s="19" t="s">
        <v>8294</v>
      </c>
      <c r="C751" s="4" t="s">
        <v>24</v>
      </c>
      <c r="D751" s="204" t="s">
        <v>1242</v>
      </c>
      <c r="E751" s="4" t="s">
        <v>3209</v>
      </c>
      <c r="F751" s="4" t="s">
        <v>2662</v>
      </c>
      <c r="G751" s="204"/>
      <c r="H751" s="204" t="s">
        <v>2276</v>
      </c>
      <c r="I751" s="204" t="s">
        <v>2276</v>
      </c>
      <c r="J751" s="204">
        <v>2</v>
      </c>
      <c r="K751" s="4" t="s">
        <v>8295</v>
      </c>
      <c r="L751" s="204" t="s">
        <v>2276</v>
      </c>
      <c r="M751" s="204" t="s">
        <v>2276</v>
      </c>
      <c r="N751" s="204"/>
    </row>
    <row r="752" spans="1:14" ht="29">
      <c r="A752" s="19" t="s">
        <v>8286</v>
      </c>
      <c r="B752" s="19" t="s">
        <v>8291</v>
      </c>
      <c r="C752" s="4" t="s">
        <v>24</v>
      </c>
      <c r="D752" s="204" t="s">
        <v>1242</v>
      </c>
      <c r="E752" s="4" t="s">
        <v>3209</v>
      </c>
      <c r="F752" s="4" t="s">
        <v>2662</v>
      </c>
      <c r="G752" s="204"/>
      <c r="H752" s="204">
        <v>3</v>
      </c>
      <c r="I752" s="11" t="s">
        <v>8296</v>
      </c>
      <c r="J752" s="204">
        <v>2</v>
      </c>
      <c r="K752" s="4" t="s">
        <v>8295</v>
      </c>
      <c r="L752" s="204" t="s">
        <v>2276</v>
      </c>
      <c r="M752" s="204" t="s">
        <v>2276</v>
      </c>
      <c r="N752" s="204"/>
    </row>
    <row r="753" spans="1:14" ht="25.5" customHeight="1">
      <c r="A753" s="19" t="s">
        <v>8299</v>
      </c>
      <c r="B753" s="19" t="s">
        <v>8301</v>
      </c>
      <c r="C753" s="204" t="s">
        <v>1105</v>
      </c>
      <c r="D753" s="204" t="s">
        <v>1105</v>
      </c>
      <c r="E753" s="4" t="s">
        <v>116</v>
      </c>
      <c r="F753" s="4" t="s">
        <v>2662</v>
      </c>
      <c r="G753" s="204"/>
      <c r="H753" s="204">
        <v>1</v>
      </c>
      <c r="I753" s="19" t="s">
        <v>8306</v>
      </c>
      <c r="J753" s="204">
        <v>1</v>
      </c>
      <c r="K753" s="4" t="s">
        <v>8307</v>
      </c>
      <c r="L753" s="204" t="s">
        <v>2276</v>
      </c>
      <c r="M753" s="204" t="s">
        <v>2276</v>
      </c>
      <c r="N753" s="204"/>
    </row>
    <row r="754" spans="1:14" ht="25.5" customHeight="1">
      <c r="A754" s="19" t="s">
        <v>8299</v>
      </c>
      <c r="B754" s="19" t="s">
        <v>8302</v>
      </c>
      <c r="C754" s="204" t="s">
        <v>1105</v>
      </c>
      <c r="D754" s="204" t="s">
        <v>1105</v>
      </c>
      <c r="E754" s="4" t="s">
        <v>2653</v>
      </c>
      <c r="F754" s="4" t="s">
        <v>2662</v>
      </c>
      <c r="G754" s="204"/>
      <c r="H754" s="204"/>
      <c r="I754" s="204"/>
      <c r="J754" s="204">
        <v>0</v>
      </c>
      <c r="K754" s="204" t="s">
        <v>8305</v>
      </c>
      <c r="L754" s="204" t="s">
        <v>2276</v>
      </c>
      <c r="M754" s="204" t="s">
        <v>2276</v>
      </c>
      <c r="N754" s="204"/>
    </row>
    <row r="755" spans="1:14" ht="27" customHeight="1">
      <c r="A755" s="19" t="s">
        <v>8299</v>
      </c>
      <c r="B755" s="19" t="s">
        <v>8303</v>
      </c>
      <c r="C755" s="204" t="s">
        <v>1105</v>
      </c>
      <c r="D755" s="204" t="s">
        <v>1105</v>
      </c>
      <c r="E755" s="4" t="s">
        <v>2649</v>
      </c>
      <c r="F755" s="4" t="s">
        <v>2662</v>
      </c>
      <c r="G755" s="204"/>
      <c r="H755" s="204"/>
      <c r="I755" s="204"/>
      <c r="J755" s="204">
        <v>0</v>
      </c>
      <c r="K755" s="204" t="s">
        <v>8305</v>
      </c>
      <c r="L755" s="204" t="s">
        <v>2276</v>
      </c>
      <c r="M755" s="204" t="s">
        <v>2276</v>
      </c>
      <c r="N755" s="204"/>
    </row>
    <row r="756" spans="1:14" ht="44.5" customHeight="1">
      <c r="A756" s="19" t="s">
        <v>8314</v>
      </c>
      <c r="B756" s="19" t="s">
        <v>8325</v>
      </c>
      <c r="C756" s="4" t="s">
        <v>24</v>
      </c>
      <c r="D756" s="204" t="s">
        <v>1105</v>
      </c>
      <c r="E756" s="4" t="s">
        <v>3854</v>
      </c>
      <c r="F756" s="204" t="s">
        <v>2276</v>
      </c>
      <c r="G756" s="204"/>
      <c r="H756" s="204">
        <v>0</v>
      </c>
      <c r="I756" s="4" t="s">
        <v>8352</v>
      </c>
      <c r="J756" s="204" t="s">
        <v>2276</v>
      </c>
      <c r="K756" s="204" t="s">
        <v>2276</v>
      </c>
      <c r="L756" s="204" t="s">
        <v>2276</v>
      </c>
      <c r="M756" s="204" t="s">
        <v>2276</v>
      </c>
      <c r="N756" s="204"/>
    </row>
    <row r="757" spans="1:14" ht="44.5" customHeight="1">
      <c r="A757" s="19" t="s">
        <v>8315</v>
      </c>
      <c r="B757" s="19" t="s">
        <v>8330</v>
      </c>
      <c r="C757" s="4" t="s">
        <v>24</v>
      </c>
      <c r="D757" s="204" t="s">
        <v>1105</v>
      </c>
      <c r="E757" s="4" t="s">
        <v>3854</v>
      </c>
      <c r="F757" s="204" t="s">
        <v>2276</v>
      </c>
      <c r="G757" s="204"/>
      <c r="H757" s="204">
        <v>0</v>
      </c>
      <c r="I757" s="4" t="s">
        <v>8352</v>
      </c>
      <c r="J757" s="204" t="s">
        <v>2276</v>
      </c>
      <c r="K757" s="204" t="s">
        <v>2276</v>
      </c>
      <c r="L757" s="204" t="s">
        <v>2276</v>
      </c>
      <c r="M757" s="204" t="s">
        <v>2276</v>
      </c>
      <c r="N757" s="204"/>
    </row>
    <row r="758" spans="1:14" ht="44.5" customHeight="1">
      <c r="A758" s="19" t="s">
        <v>8318</v>
      </c>
      <c r="B758" s="19" t="s">
        <v>8336</v>
      </c>
      <c r="C758" s="4" t="s">
        <v>24</v>
      </c>
      <c r="D758" s="204" t="s">
        <v>1105</v>
      </c>
      <c r="E758" s="4" t="s">
        <v>3854</v>
      </c>
      <c r="F758" s="204" t="s">
        <v>2276</v>
      </c>
      <c r="G758" s="204"/>
      <c r="H758" s="204">
        <v>0</v>
      </c>
      <c r="I758" s="4" t="s">
        <v>8352</v>
      </c>
      <c r="J758" s="204" t="s">
        <v>2276</v>
      </c>
      <c r="K758" s="204" t="s">
        <v>2276</v>
      </c>
      <c r="L758" s="204" t="s">
        <v>2276</v>
      </c>
      <c r="M758" s="204" t="s">
        <v>2276</v>
      </c>
      <c r="N758" s="204"/>
    </row>
    <row r="759" spans="1:14" ht="44.5" customHeight="1">
      <c r="A759" s="19" t="s">
        <v>8319</v>
      </c>
      <c r="B759" s="19" t="s">
        <v>8345</v>
      </c>
      <c r="C759" s="4" t="s">
        <v>24</v>
      </c>
      <c r="D759" s="204" t="s">
        <v>1105</v>
      </c>
      <c r="E759" s="4" t="s">
        <v>3854</v>
      </c>
      <c r="F759" s="204" t="s">
        <v>2276</v>
      </c>
      <c r="G759" s="204"/>
      <c r="H759" s="204">
        <v>0</v>
      </c>
      <c r="I759" s="4" t="s">
        <v>8352</v>
      </c>
      <c r="J759" s="204" t="s">
        <v>2276</v>
      </c>
      <c r="K759" s="204" t="s">
        <v>2276</v>
      </c>
      <c r="L759" s="204" t="s">
        <v>2276</v>
      </c>
      <c r="M759" s="204" t="s">
        <v>2276</v>
      </c>
      <c r="N759" s="204"/>
    </row>
  </sheetData>
  <autoFilter ref="A1:A703" xr:uid="{D51B2D5E-D687-4BEF-AD8D-C0C0A4AF7AEF}"/>
  <phoneticPr fontId="6" type="noConversion"/>
  <dataValidations xWindow="784" yWindow="581" count="9">
    <dataValidation allowBlank="1" showInputMessage="1" showErrorMessage="1" prompt="The same as Case study ID in Record Info" sqref="B57:B62 A1:A202 B227:B228 A225:A231 B238:B239 B251:B255 B268:B279 A234:A286 A302:A304 F307:G308 G309:G311 B307:C308 B315:B322 A307:A322 B333:B334 B337:B348 B355:B357 A511:A514 A417:A465 B373:B376 B383:B384 A331:A399 G581 A542:A586 D711:D717 C711:C718 E711:F718 B747:B752 A704:A1048576 B756:B759"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1:B583 B704:B718 B724:B746 B753:B755 B760:B1048576" xr:uid="{6A6EF5BA-79F7-4B26-8190-9E5956E67713}"/>
    <dataValidation type="whole" allowBlank="1" showInputMessage="1" showErrorMessage="1" prompt="Blank if refers to all study years" sqref="G55:G88 G106:G246 G1:G43 G251:G304 G312:G500 G505:G580 G582: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37:B703 B584:B586 B501:B510 B719:B723"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A497:A500 B587:B636 A515:A541 B498:B500 A466:B496 A587:A703 A501:A507"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1:G502 G504" xr:uid="{2CCE6A99-02B7-46C3-9C1F-DBE23BEB1FEE}">
      <formula1>1900</formula1>
      <formula2>2020</formula2>
    </dataValidation>
    <dataValidation allowBlank="1" showInputMessage="1" showErrorMessage="1" prompt="The same as Case study ID in Record Info_x000a_" sqref="A508:A510 A400 A403"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84" yWindow="581" count="16">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D554 D551:D552 C551:C559 C561:D563 C565:D565 C567:D567 C569:D569 C571:D571 C573:D576 C578:D579 C503:D503 C587:C710 D728:D729 C719:C1048576</xm:sqref>
        </x14:dataValidation>
        <x14:dataValidation type="list" allowBlank="1" showInputMessage="1" showErrorMessage="1" xr:uid="{AAF9C4C1-09FE-4569-A9E5-AD024FF08D29}">
          <x14:formula1>
            <xm:f>'IGNORE Lookups'!$G$3:$G$10</xm:f>
          </x14:formula1>
          <xm:sqref>F1:F53 F56:F301 F305:F306 F309:F312 F323:F324 F415:F500 H554:I554 F392 F396 F394 F398:F404 F408 F410:F412 F389 F331:F376 D555:D556 H637:I703 G503 F551:F710 F719:F1048576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L551:L553 H551:H553 K555:M555 K556 I558 I560:I581 K582:K586 H555:H636 J503 J521 K704:K709 M556:M730 I710:I729 K730 I741:I743 K732:K739 I732:I734 M735:M744 K745:K746 M747:M759 H704:H1048576 I746:I751 J551:J1048576 L556:L1048576 K756:K759</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C581:C586</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D553 D557:D560 C560 C564:D564 C566:D566 C568:D568 C570:D570 C572:D572 C577:D577 C580:D580 D544:D547 D504:D507 D522 D526 D581:D710 D718:D727 D730:D1048576</xm:sqref>
        </x14:dataValidation>
        <x14:dataValidation type="list" allowBlank="1" showInputMessage="1" showErrorMessage="1" xr:uid="{9FD56368-611F-424A-BF9F-CC9F55131B81}">
          <x14:formula1>
            <xm:f>'IGNORE Lookups'!$C$23:$C$45</xm:f>
          </x14:formula1>
          <xm:sqref>E415:E500 E1:E376 E378 E380 E382 E384 E386 E410:E412 E388:E408 E503 E551:E710 E719:E1048576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E508:F508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E501:E502 L501:M503 M504:M505 F504:F505 F509:F510 H501:I510 H515 H519 H517 H521:H523 H525:H527 H529 H531 H533:H534 H536 H538 H540:H541 H543:H548 H550 J546:J547 J541:J542 J534:J539 J526:J532 J522:J524 J515:J520 J504:J510 L508:L510 L516 L518 L520:L521 L524:L525 L528 L530 L532:L533 L537 L535 L539:L540 L542:L543 L549:L550</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E509:E550 C506 C515:C543 E504:E507 C548:D550 L554 C504 D527:D543 J511:J514 F511:F550 H549 C501:C502 D516:D521 D523:D525 J525 F506:F507 H511:H514 H518 H516 H520 H524 H528 H530 H532 H535 H537 H539 H542 J548:J550 J543:J545 J540 J533 L506:L507 L511:L515 L517 L519 L522:L523 L526:L527 L529 L531 L536 L534 L538 L541 L544:L548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C545 C547</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C505 C507</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D501:D502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L504:L505 F501:F503 J501:J502 K504</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C508:C514 D508:D515</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E509:E510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820"/>
  <sheetViews>
    <sheetView topLeftCell="I1" zoomScale="55" zoomScaleNormal="55" workbookViewId="0">
      <pane ySplit="1" topLeftCell="A811" activePane="bottomLeft" state="frozen"/>
      <selection pane="bottomLeft" activeCell="V819" sqref="M819:V819"/>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49"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29">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29">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29">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29">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3" customFormat="1" ht="41.5" customHeight="1">
      <c r="A636" s="204" t="s">
        <v>6640</v>
      </c>
      <c r="B636" s="204" t="s">
        <v>6647</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6657</v>
      </c>
    </row>
    <row r="637" spans="1:23" s="203" customFormat="1" ht="41.5" customHeight="1">
      <c r="A637" s="204" t="s">
        <v>6640</v>
      </c>
      <c r="B637" s="204" t="s">
        <v>6648</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6657</v>
      </c>
    </row>
    <row r="638" spans="1:23" s="203" customFormat="1" ht="41.5" customHeight="1">
      <c r="A638" s="204" t="s">
        <v>6641</v>
      </c>
      <c r="B638" s="204" t="s">
        <v>6649</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6657</v>
      </c>
    </row>
    <row r="639" spans="1:23" s="203" customFormat="1" ht="41.5" customHeight="1">
      <c r="A639" s="204" t="s">
        <v>6641</v>
      </c>
      <c r="B639" s="204" t="s">
        <v>6650</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6657</v>
      </c>
    </row>
    <row r="640" spans="1:23" s="203" customFormat="1" ht="41.5" customHeight="1">
      <c r="A640" s="204" t="s">
        <v>6642</v>
      </c>
      <c r="B640" s="204" t="s">
        <v>6651</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6657</v>
      </c>
    </row>
    <row r="641" spans="1:23" s="203" customFormat="1" ht="41.5" customHeight="1">
      <c r="A641" s="204" t="s">
        <v>6642</v>
      </c>
      <c r="B641" s="204" t="s">
        <v>6652</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6657</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6787</v>
      </c>
    </row>
    <row r="644" spans="1:23" ht="50.5" customHeight="1">
      <c r="A644" s="4" t="s">
        <v>6168</v>
      </c>
      <c r="B644" s="4" t="s">
        <v>6224</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6787</v>
      </c>
    </row>
    <row r="645" spans="1:23" ht="49" customHeight="1">
      <c r="A645" s="4" t="s">
        <v>6168</v>
      </c>
      <c r="B645" s="4" t="s">
        <v>6225</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6788</v>
      </c>
    </row>
    <row r="646" spans="1:23" s="203" customFormat="1" ht="49" customHeight="1">
      <c r="A646" s="4" t="s">
        <v>6169</v>
      </c>
      <c r="B646" s="4" t="s">
        <v>6229</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6787</v>
      </c>
    </row>
    <row r="647" spans="1:23" s="203" customFormat="1" ht="49" customHeight="1">
      <c r="A647" s="4" t="s">
        <v>6169</v>
      </c>
      <c r="B647" s="4" t="s">
        <v>6716</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6787</v>
      </c>
    </row>
    <row r="648" spans="1:23" s="203" customFormat="1" ht="49" customHeight="1">
      <c r="A648" s="4" t="s">
        <v>6169</v>
      </c>
      <c r="B648" s="4" t="s">
        <v>6717</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6788</v>
      </c>
    </row>
    <row r="649" spans="1:23" s="203" customFormat="1" ht="49" customHeight="1">
      <c r="A649" s="4" t="s">
        <v>6170</v>
      </c>
      <c r="B649" s="4" t="s">
        <v>6230</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6787</v>
      </c>
    </row>
    <row r="650" spans="1:23" s="203" customFormat="1" ht="49" customHeight="1">
      <c r="A650" s="4" t="s">
        <v>6170</v>
      </c>
      <c r="B650" s="4" t="s">
        <v>6722</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6787</v>
      </c>
    </row>
    <row r="651" spans="1:23" s="203" customFormat="1" ht="49" customHeight="1">
      <c r="A651" s="4" t="s">
        <v>6170</v>
      </c>
      <c r="B651" s="4" t="s">
        <v>6723</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6788</v>
      </c>
    </row>
    <row r="652" spans="1:23" s="203" customFormat="1" ht="49" customHeight="1">
      <c r="A652" s="4" t="s">
        <v>6171</v>
      </c>
      <c r="B652" s="4" t="s">
        <v>6231</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6787</v>
      </c>
    </row>
    <row r="653" spans="1:23" s="203" customFormat="1" ht="49" customHeight="1">
      <c r="A653" s="4" t="s">
        <v>6171</v>
      </c>
      <c r="B653" s="4" t="s">
        <v>6728</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6787</v>
      </c>
    </row>
    <row r="654" spans="1:23" s="203" customFormat="1" ht="49" customHeight="1">
      <c r="A654" s="4" t="s">
        <v>6171</v>
      </c>
      <c r="B654" s="4" t="s">
        <v>6729</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6788</v>
      </c>
    </row>
    <row r="655" spans="1:23" s="203" customFormat="1" ht="49" customHeight="1">
      <c r="A655" s="4" t="s">
        <v>6172</v>
      </c>
      <c r="B655" s="4" t="s">
        <v>6232</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6787</v>
      </c>
    </row>
    <row r="656" spans="1:23" s="203" customFormat="1" ht="49" customHeight="1">
      <c r="A656" s="4" t="s">
        <v>6172</v>
      </c>
      <c r="B656" s="4" t="s">
        <v>6734</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6787</v>
      </c>
    </row>
    <row r="657" spans="1:23" s="203" customFormat="1" ht="49" customHeight="1">
      <c r="A657" s="4" t="s">
        <v>6172</v>
      </c>
      <c r="B657" s="4" t="s">
        <v>6735</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6788</v>
      </c>
    </row>
    <row r="658" spans="1:23" s="203" customFormat="1" ht="49" customHeight="1">
      <c r="A658" s="4" t="s">
        <v>6173</v>
      </c>
      <c r="B658" s="4" t="s">
        <v>6233</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6787</v>
      </c>
    </row>
    <row r="659" spans="1:23" s="203" customFormat="1" ht="49" customHeight="1">
      <c r="A659" s="4" t="s">
        <v>6173</v>
      </c>
      <c r="B659" s="4" t="s">
        <v>6740</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6787</v>
      </c>
    </row>
    <row r="660" spans="1:23" s="203" customFormat="1" ht="49" customHeight="1">
      <c r="A660" s="4" t="s">
        <v>6173</v>
      </c>
      <c r="B660" s="4" t="s">
        <v>6741</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6788</v>
      </c>
    </row>
    <row r="661" spans="1:23" s="203" customFormat="1" ht="49" customHeight="1">
      <c r="A661" s="4" t="s">
        <v>6174</v>
      </c>
      <c r="B661" s="4" t="s">
        <v>6234</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6787</v>
      </c>
    </row>
    <row r="662" spans="1:23" s="203" customFormat="1" ht="49" customHeight="1">
      <c r="A662" s="4" t="s">
        <v>6174</v>
      </c>
      <c r="B662" s="4" t="s">
        <v>6746</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6787</v>
      </c>
    </row>
    <row r="663" spans="1:23" s="203" customFormat="1" ht="49" customHeight="1">
      <c r="A663" s="4" t="s">
        <v>6174</v>
      </c>
      <c r="B663" s="4" t="s">
        <v>6747</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6788</v>
      </c>
    </row>
    <row r="664" spans="1:23" s="203" customFormat="1" ht="49" customHeight="1">
      <c r="A664" s="4" t="s">
        <v>6175</v>
      </c>
      <c r="B664" s="4" t="s">
        <v>6235</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6787</v>
      </c>
    </row>
    <row r="665" spans="1:23" s="203" customFormat="1" ht="49" customHeight="1">
      <c r="A665" s="4" t="s">
        <v>6175</v>
      </c>
      <c r="B665" s="4" t="s">
        <v>6752</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6787</v>
      </c>
    </row>
    <row r="666" spans="1:23" s="203" customFormat="1" ht="49" customHeight="1">
      <c r="A666" s="4" t="s">
        <v>6175</v>
      </c>
      <c r="B666" s="4" t="s">
        <v>6753</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6788</v>
      </c>
    </row>
    <row r="667" spans="1:23" s="203" customFormat="1" ht="49" customHeight="1">
      <c r="A667" s="4" t="s">
        <v>6176</v>
      </c>
      <c r="B667" s="4" t="s">
        <v>6236</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6787</v>
      </c>
    </row>
    <row r="668" spans="1:23" s="203" customFormat="1" ht="49" customHeight="1">
      <c r="A668" s="4" t="s">
        <v>6176</v>
      </c>
      <c r="B668" s="4" t="s">
        <v>6758</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6787</v>
      </c>
    </row>
    <row r="669" spans="1:23" s="203" customFormat="1" ht="49" customHeight="1">
      <c r="A669" s="4" t="s">
        <v>6176</v>
      </c>
      <c r="B669" s="4" t="s">
        <v>6759</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6788</v>
      </c>
    </row>
    <row r="670" spans="1:23" s="203" customFormat="1" ht="49" customHeight="1">
      <c r="A670" s="4" t="s">
        <v>6177</v>
      </c>
      <c r="B670" s="4" t="s">
        <v>6237</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6787</v>
      </c>
    </row>
    <row r="671" spans="1:23" s="203" customFormat="1" ht="49" customHeight="1">
      <c r="A671" s="4" t="s">
        <v>6177</v>
      </c>
      <c r="B671" s="4" t="s">
        <v>6764</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6787</v>
      </c>
    </row>
    <row r="672" spans="1:23" s="203" customFormat="1" ht="49" customHeight="1">
      <c r="A672" s="4" t="s">
        <v>6177</v>
      </c>
      <c r="B672" s="4" t="s">
        <v>6765</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6788</v>
      </c>
    </row>
    <row r="673" spans="1:23" s="203" customFormat="1" ht="49" customHeight="1">
      <c r="A673" s="4" t="s">
        <v>6178</v>
      </c>
      <c r="B673" s="4" t="s">
        <v>6238</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6787</v>
      </c>
    </row>
    <row r="674" spans="1:23" s="203" customFormat="1" ht="49" customHeight="1">
      <c r="A674" s="4" t="s">
        <v>6178</v>
      </c>
      <c r="B674" s="4" t="s">
        <v>6770</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6787</v>
      </c>
    </row>
    <row r="675" spans="1:23" s="203" customFormat="1" ht="49" customHeight="1">
      <c r="A675" s="4" t="s">
        <v>6178</v>
      </c>
      <c r="B675" s="4" t="s">
        <v>6771</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6788</v>
      </c>
    </row>
    <row r="676" spans="1:23" s="203" customFormat="1" ht="49" customHeight="1">
      <c r="A676" s="4" t="s">
        <v>6179</v>
      </c>
      <c r="B676" s="4" t="s">
        <v>6239</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6787</v>
      </c>
    </row>
    <row r="677" spans="1:23" s="203" customFormat="1" ht="49" customHeight="1">
      <c r="A677" s="4" t="s">
        <v>6179</v>
      </c>
      <c r="B677" s="4" t="s">
        <v>6776</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6787</v>
      </c>
    </row>
    <row r="678" spans="1:23" s="203" customFormat="1" ht="49" customHeight="1">
      <c r="A678" s="4" t="s">
        <v>6179</v>
      </c>
      <c r="B678" s="4" t="s">
        <v>6777</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6788</v>
      </c>
    </row>
    <row r="679" spans="1:23" ht="29">
      <c r="A679" s="19" t="s">
        <v>6365</v>
      </c>
      <c r="B679" s="19" t="s">
        <v>6460</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7049</v>
      </c>
    </row>
    <row r="680" spans="1:23" ht="29">
      <c r="A680" s="4" t="s">
        <v>6340</v>
      </c>
      <c r="B680" s="4" t="s">
        <v>6619</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6534</v>
      </c>
    </row>
    <row r="681" spans="1:23" ht="29">
      <c r="A681" s="4" t="s">
        <v>6340</v>
      </c>
      <c r="B681" s="4" t="s">
        <v>6620</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6534</v>
      </c>
    </row>
    <row r="682" spans="1:23" ht="29">
      <c r="A682" s="4" t="s">
        <v>6340</v>
      </c>
      <c r="B682" s="4" t="s">
        <v>6621</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6534</v>
      </c>
    </row>
    <row r="683" spans="1:23" ht="29">
      <c r="A683" s="4" t="s">
        <v>6340</v>
      </c>
      <c r="B683" s="4" t="s">
        <v>6622</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6534</v>
      </c>
    </row>
    <row r="684" spans="1:23" ht="29">
      <c r="A684" s="4" t="s">
        <v>6340</v>
      </c>
      <c r="B684" s="4" t="s">
        <v>6623</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6534</v>
      </c>
    </row>
    <row r="685" spans="1:23" ht="58">
      <c r="A685" s="4" t="s">
        <v>6341</v>
      </c>
      <c r="B685" s="4" t="s">
        <v>6502</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8397</v>
      </c>
    </row>
    <row r="686" spans="1:23" ht="87">
      <c r="A686" s="4" t="s">
        <v>6341</v>
      </c>
      <c r="B686" s="4" t="s">
        <v>6503</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8398</v>
      </c>
    </row>
    <row r="687" spans="1:23" ht="72.5">
      <c r="A687" s="4" t="s">
        <v>6341</v>
      </c>
      <c r="B687" s="4" t="s">
        <v>6504</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8399</v>
      </c>
    </row>
    <row r="688" spans="1:23" ht="58">
      <c r="A688" s="4" t="s">
        <v>6505</v>
      </c>
      <c r="B688" s="4" t="s">
        <v>6506</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8397</v>
      </c>
    </row>
    <row r="689" spans="1:23" ht="87">
      <c r="A689" s="4" t="s">
        <v>6505</v>
      </c>
      <c r="B689" s="4" t="s">
        <v>6507</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8398</v>
      </c>
    </row>
    <row r="690" spans="1:23" ht="72.5">
      <c r="A690" s="4" t="s">
        <v>6505</v>
      </c>
      <c r="B690" s="4" t="s">
        <v>6508</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8399</v>
      </c>
    </row>
    <row r="691" spans="1:23" ht="58">
      <c r="A691" s="4" t="s">
        <v>6342</v>
      </c>
      <c r="B691" s="4" t="s">
        <v>6509</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8397</v>
      </c>
    </row>
    <row r="692" spans="1:23" ht="87">
      <c r="A692" s="4" t="s">
        <v>6342</v>
      </c>
      <c r="B692" s="4" t="s">
        <v>6510</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8398</v>
      </c>
    </row>
    <row r="693" spans="1:23" ht="72.5">
      <c r="A693" s="4" t="s">
        <v>6342</v>
      </c>
      <c r="B693" s="4" t="s">
        <v>6511</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8399</v>
      </c>
    </row>
    <row r="694" spans="1:23" ht="58">
      <c r="A694" s="4" t="s">
        <v>6624</v>
      </c>
      <c r="B694" s="4" t="s">
        <v>6625</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8397</v>
      </c>
    </row>
    <row r="695" spans="1:23" ht="87">
      <c r="A695" s="4" t="s">
        <v>6624</v>
      </c>
      <c r="B695" s="4" t="s">
        <v>6626</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8398</v>
      </c>
    </row>
    <row r="696" spans="1:23" ht="72.5">
      <c r="A696" s="4" t="s">
        <v>6624</v>
      </c>
      <c r="B696" s="4" t="s">
        <v>6627</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8399</v>
      </c>
    </row>
    <row r="697" spans="1:23" ht="58">
      <c r="A697" s="4" t="s">
        <v>6344</v>
      </c>
      <c r="B697" s="4" t="s">
        <v>6515</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8397</v>
      </c>
    </row>
    <row r="698" spans="1:23" ht="87">
      <c r="A698" s="4" t="s">
        <v>6344</v>
      </c>
      <c r="B698" s="4" t="s">
        <v>6516</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8398</v>
      </c>
    </row>
    <row r="699" spans="1:23" ht="72.5">
      <c r="A699" s="4" t="s">
        <v>6344</v>
      </c>
      <c r="B699" s="4" t="s">
        <v>6517</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8399</v>
      </c>
    </row>
    <row r="700" spans="1:23" ht="58">
      <c r="A700" s="4" t="s">
        <v>6345</v>
      </c>
      <c r="B700" s="4" t="s">
        <v>6518</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8397</v>
      </c>
    </row>
    <row r="701" spans="1:23" ht="87">
      <c r="A701" s="4" t="s">
        <v>6345</v>
      </c>
      <c r="B701" s="4" t="s">
        <v>6519</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8398</v>
      </c>
    </row>
    <row r="702" spans="1:23" ht="72.5">
      <c r="A702" s="4" t="s">
        <v>6345</v>
      </c>
      <c r="B702" s="4" t="s">
        <v>6520</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8399</v>
      </c>
    </row>
    <row r="703" spans="1:23" ht="72.5">
      <c r="A703" s="4" t="s">
        <v>6353</v>
      </c>
      <c r="B703" s="4" t="s">
        <v>6532</v>
      </c>
      <c r="C703" s="4" t="s">
        <v>24</v>
      </c>
      <c r="D703" s="4" t="s">
        <v>1105</v>
      </c>
      <c r="E703" s="4" t="s">
        <v>1105</v>
      </c>
      <c r="F703" s="4" t="s">
        <v>28</v>
      </c>
      <c r="G703" s="4">
        <v>2014</v>
      </c>
      <c r="H703" s="4" t="s">
        <v>541</v>
      </c>
      <c r="I703" s="4" t="s">
        <v>2276</v>
      </c>
      <c r="J703" s="4" t="s">
        <v>2276</v>
      </c>
      <c r="K703" s="4" t="s">
        <v>2276</v>
      </c>
      <c r="L703" s="4" t="s">
        <v>2276</v>
      </c>
      <c r="M703" s="4" t="s">
        <v>2728</v>
      </c>
      <c r="N703" s="4" t="s">
        <v>2276</v>
      </c>
      <c r="O703" s="4" t="s">
        <v>534</v>
      </c>
      <c r="P703" s="4" t="s">
        <v>2276</v>
      </c>
      <c r="Q703" s="4">
        <v>2</v>
      </c>
      <c r="R703" s="4" t="s">
        <v>2276</v>
      </c>
      <c r="S703" s="4" t="s">
        <v>2276</v>
      </c>
      <c r="T703" s="4" t="s">
        <v>2276</v>
      </c>
      <c r="U703" s="4" t="s">
        <v>2276</v>
      </c>
      <c r="V703" s="4" t="s">
        <v>2276</v>
      </c>
      <c r="W703" s="4" t="s">
        <v>8411</v>
      </c>
    </row>
    <row r="704" spans="1:23" ht="72.5">
      <c r="A704" s="4" t="s">
        <v>6353</v>
      </c>
      <c r="B704" s="4" t="s">
        <v>6533</v>
      </c>
      <c r="C704" s="4" t="s">
        <v>24</v>
      </c>
      <c r="D704" s="4" t="s">
        <v>1105</v>
      </c>
      <c r="E704" s="4" t="s">
        <v>1105</v>
      </c>
      <c r="F704" s="4" t="s">
        <v>74</v>
      </c>
      <c r="G704" s="4">
        <v>2014</v>
      </c>
      <c r="H704" s="4" t="s">
        <v>541</v>
      </c>
      <c r="I704" s="4" t="s">
        <v>2276</v>
      </c>
      <c r="J704" s="4" t="s">
        <v>2276</v>
      </c>
      <c r="K704" s="4" t="s">
        <v>2276</v>
      </c>
      <c r="L704" s="4" t="s">
        <v>2276</v>
      </c>
      <c r="M704" s="4" t="s">
        <v>2728</v>
      </c>
      <c r="N704" s="4" t="s">
        <v>2276</v>
      </c>
      <c r="O704" s="4" t="s">
        <v>534</v>
      </c>
      <c r="P704" s="4" t="s">
        <v>2276</v>
      </c>
      <c r="Q704" s="4">
        <v>2</v>
      </c>
      <c r="R704" s="4" t="s">
        <v>2276</v>
      </c>
      <c r="S704" s="4" t="s">
        <v>2276</v>
      </c>
      <c r="T704" s="4" t="s">
        <v>2276</v>
      </c>
      <c r="U704" s="4" t="s">
        <v>2276</v>
      </c>
      <c r="V704" s="4" t="s">
        <v>2276</v>
      </c>
      <c r="W704" s="4" t="s">
        <v>8411</v>
      </c>
    </row>
    <row r="705" spans="1:23" ht="57" customHeight="1">
      <c r="A705" s="4" t="s">
        <v>6402</v>
      </c>
      <c r="B705" s="4" t="s">
        <v>6545</v>
      </c>
      <c r="C705" s="4" t="s">
        <v>24</v>
      </c>
      <c r="D705" s="4" t="s">
        <v>1242</v>
      </c>
      <c r="E705" s="4"/>
      <c r="F705" s="4" t="s">
        <v>74</v>
      </c>
      <c r="G705" s="4"/>
      <c r="H705" s="4" t="s">
        <v>2673</v>
      </c>
      <c r="I705" s="4" t="s">
        <v>2276</v>
      </c>
      <c r="J705" s="4" t="s">
        <v>2276</v>
      </c>
      <c r="K705" s="4" t="s">
        <v>2276</v>
      </c>
      <c r="L705" s="4" t="s">
        <v>2276</v>
      </c>
      <c r="M705" s="4" t="s">
        <v>537</v>
      </c>
      <c r="N705" s="4" t="s">
        <v>2276</v>
      </c>
      <c r="O705" s="4" t="s">
        <v>2276</v>
      </c>
      <c r="P705" s="4" t="s">
        <v>2276</v>
      </c>
      <c r="Q705" s="4" t="s">
        <v>2276</v>
      </c>
      <c r="R705" s="4" t="s">
        <v>537</v>
      </c>
      <c r="S705" s="4" t="s">
        <v>2276</v>
      </c>
      <c r="T705" s="4" t="s">
        <v>2276</v>
      </c>
      <c r="U705" s="4" t="s">
        <v>2276</v>
      </c>
      <c r="V705" s="4" t="s">
        <v>2276</v>
      </c>
      <c r="W705" s="4"/>
    </row>
    <row r="706" spans="1:23" ht="57" customHeight="1">
      <c r="A706" s="4" t="s">
        <v>6403</v>
      </c>
      <c r="B706" s="4" t="s">
        <v>6547</v>
      </c>
      <c r="C706" s="4" t="s">
        <v>24</v>
      </c>
      <c r="D706" s="4" t="s">
        <v>1242</v>
      </c>
      <c r="E706" s="4"/>
      <c r="F706" s="4" t="s">
        <v>74</v>
      </c>
      <c r="G706" s="4"/>
      <c r="H706" s="4" t="s">
        <v>2673</v>
      </c>
      <c r="I706" s="4" t="s">
        <v>2276</v>
      </c>
      <c r="J706" s="4" t="s">
        <v>2276</v>
      </c>
      <c r="K706" s="4" t="s">
        <v>2276</v>
      </c>
      <c r="L706" s="4" t="s">
        <v>2276</v>
      </c>
      <c r="M706" s="4" t="s">
        <v>2728</v>
      </c>
      <c r="N706" s="4" t="s">
        <v>2276</v>
      </c>
      <c r="O706" s="4" t="s">
        <v>2276</v>
      </c>
      <c r="P706" s="4" t="s">
        <v>534</v>
      </c>
      <c r="Q706" s="4" t="s">
        <v>2276</v>
      </c>
      <c r="R706" s="4" t="s">
        <v>537</v>
      </c>
      <c r="S706" s="4" t="s">
        <v>2276</v>
      </c>
      <c r="T706" s="4" t="s">
        <v>2276</v>
      </c>
      <c r="U706" s="4" t="s">
        <v>2276</v>
      </c>
      <c r="V706" s="4" t="s">
        <v>2276</v>
      </c>
      <c r="W706" s="4" t="s">
        <v>7864</v>
      </c>
    </row>
    <row r="707" spans="1:23" ht="57" customHeight="1">
      <c r="A707" s="4" t="s">
        <v>6404</v>
      </c>
      <c r="B707" s="4" t="s">
        <v>6549</v>
      </c>
      <c r="C707" s="4" t="s">
        <v>6628</v>
      </c>
      <c r="D707" s="4" t="s">
        <v>2276</v>
      </c>
      <c r="E707" s="204" t="s">
        <v>2653</v>
      </c>
      <c r="F707" s="4"/>
      <c r="G707" s="4"/>
      <c r="H707" s="58" t="s">
        <v>2276</v>
      </c>
      <c r="I707" s="4" t="s">
        <v>2276</v>
      </c>
      <c r="J707" s="4" t="s">
        <v>2276</v>
      </c>
      <c r="K707" s="4" t="s">
        <v>2276</v>
      </c>
      <c r="L707" s="4" t="s">
        <v>2276</v>
      </c>
      <c r="M707" s="4" t="s">
        <v>2671</v>
      </c>
      <c r="N707" s="4" t="s">
        <v>2276</v>
      </c>
      <c r="O707" s="4" t="s">
        <v>2276</v>
      </c>
      <c r="P707" s="4" t="s">
        <v>2276</v>
      </c>
      <c r="Q707" s="4" t="s">
        <v>2276</v>
      </c>
      <c r="R707" s="4" t="s">
        <v>534</v>
      </c>
      <c r="S707" s="4" t="s">
        <v>2276</v>
      </c>
      <c r="T707" s="4" t="s">
        <v>2276</v>
      </c>
      <c r="U707" s="4" t="s">
        <v>2276</v>
      </c>
      <c r="V707" s="4" t="s">
        <v>2276</v>
      </c>
      <c r="W707" s="4"/>
    </row>
    <row r="708" spans="1:23" ht="57" customHeight="1">
      <c r="A708" s="4" t="s">
        <v>6404</v>
      </c>
      <c r="B708" s="4" t="s">
        <v>6550</v>
      </c>
      <c r="C708" s="4" t="s">
        <v>2656</v>
      </c>
      <c r="D708" s="4" t="s">
        <v>2276</v>
      </c>
      <c r="E708" s="204" t="s">
        <v>2653</v>
      </c>
      <c r="F708" s="4"/>
      <c r="G708" s="4"/>
      <c r="H708" s="58" t="s">
        <v>2276</v>
      </c>
      <c r="I708" s="4" t="s">
        <v>2276</v>
      </c>
      <c r="J708" s="4" t="s">
        <v>2276</v>
      </c>
      <c r="K708" s="4" t="s">
        <v>2276</v>
      </c>
      <c r="L708" s="4" t="s">
        <v>2276</v>
      </c>
      <c r="M708" s="4" t="s">
        <v>2671</v>
      </c>
      <c r="N708" s="4" t="s">
        <v>2276</v>
      </c>
      <c r="O708" s="4" t="s">
        <v>2276</v>
      </c>
      <c r="P708" s="4" t="s">
        <v>2276</v>
      </c>
      <c r="Q708" s="4" t="s">
        <v>2276</v>
      </c>
      <c r="R708" s="4" t="s">
        <v>534</v>
      </c>
      <c r="S708" s="4" t="s">
        <v>2276</v>
      </c>
      <c r="T708" s="4" t="s">
        <v>2276</v>
      </c>
      <c r="U708" s="4" t="s">
        <v>2276</v>
      </c>
      <c r="V708" s="4" t="s">
        <v>2276</v>
      </c>
      <c r="W708" s="4"/>
    </row>
    <row r="709" spans="1:23" ht="57" customHeight="1">
      <c r="A709" s="4" t="s">
        <v>6404</v>
      </c>
      <c r="B709" s="4" t="s">
        <v>6635</v>
      </c>
      <c r="C709" s="4" t="s">
        <v>6628</v>
      </c>
      <c r="D709" s="4" t="s">
        <v>2658</v>
      </c>
      <c r="E709" s="4" t="s">
        <v>2649</v>
      </c>
      <c r="F709" s="4" t="s">
        <v>74</v>
      </c>
      <c r="G709" s="4"/>
      <c r="H709" s="58" t="s">
        <v>2276</v>
      </c>
      <c r="I709" s="4" t="s">
        <v>2276</v>
      </c>
      <c r="J709" s="4" t="s">
        <v>2276</v>
      </c>
      <c r="K709" s="4" t="s">
        <v>2276</v>
      </c>
      <c r="L709" s="4" t="s">
        <v>2276</v>
      </c>
      <c r="M709" s="4" t="s">
        <v>2671</v>
      </c>
      <c r="N709" s="4" t="s">
        <v>2276</v>
      </c>
      <c r="O709" s="4" t="s">
        <v>2276</v>
      </c>
      <c r="P709" s="4" t="s">
        <v>2276</v>
      </c>
      <c r="Q709" s="4" t="s">
        <v>2276</v>
      </c>
      <c r="R709" s="4" t="s">
        <v>2276</v>
      </c>
      <c r="S709" s="4" t="s">
        <v>2276</v>
      </c>
      <c r="T709" s="4" t="s">
        <v>2276</v>
      </c>
      <c r="U709" s="4" t="s">
        <v>2276</v>
      </c>
      <c r="V709" s="4" t="s">
        <v>2276</v>
      </c>
      <c r="W709" s="4" t="s">
        <v>6629</v>
      </c>
    </row>
    <row r="710" spans="1:23" ht="57" customHeight="1">
      <c r="A710" s="4" t="s">
        <v>6404</v>
      </c>
      <c r="B710" s="4" t="s">
        <v>6636</v>
      </c>
      <c r="C710" s="4" t="s">
        <v>2656</v>
      </c>
      <c r="D710" s="4" t="s">
        <v>2276</v>
      </c>
      <c r="E710" s="4" t="s">
        <v>2649</v>
      </c>
      <c r="F710" s="4" t="s">
        <v>74</v>
      </c>
      <c r="G710" s="4"/>
      <c r="H710" s="58" t="s">
        <v>2276</v>
      </c>
      <c r="I710" s="4" t="s">
        <v>2276</v>
      </c>
      <c r="J710" s="4" t="s">
        <v>2276</v>
      </c>
      <c r="K710" s="4" t="s">
        <v>2276</v>
      </c>
      <c r="L710" s="4" t="s">
        <v>2276</v>
      </c>
      <c r="M710" s="4" t="s">
        <v>2671</v>
      </c>
      <c r="N710" s="4" t="s">
        <v>2276</v>
      </c>
      <c r="O710" s="4" t="s">
        <v>2276</v>
      </c>
      <c r="P710" s="4" t="s">
        <v>2276</v>
      </c>
      <c r="Q710" s="4" t="s">
        <v>2276</v>
      </c>
      <c r="R710" s="4" t="s">
        <v>2276</v>
      </c>
      <c r="S710" s="4" t="s">
        <v>2276</v>
      </c>
      <c r="T710" s="4" t="s">
        <v>2276</v>
      </c>
      <c r="U710" s="4" t="s">
        <v>2276</v>
      </c>
      <c r="V710" s="4" t="s">
        <v>2276</v>
      </c>
      <c r="W710" s="4" t="s">
        <v>6629</v>
      </c>
    </row>
    <row r="711" spans="1:23" ht="57" customHeight="1">
      <c r="A711" s="4" t="s">
        <v>6406</v>
      </c>
      <c r="B711" s="4" t="s">
        <v>6597</v>
      </c>
      <c r="C711" s="4" t="s">
        <v>1105</v>
      </c>
      <c r="D711" s="4" t="s">
        <v>2276</v>
      </c>
      <c r="E711" s="4" t="s">
        <v>137</v>
      </c>
      <c r="F711" s="4" t="s">
        <v>74</v>
      </c>
      <c r="G711" s="4"/>
      <c r="H711" s="58" t="s">
        <v>2276</v>
      </c>
      <c r="I711" s="4" t="s">
        <v>2276</v>
      </c>
      <c r="J711" s="4" t="s">
        <v>2276</v>
      </c>
      <c r="K711" s="4" t="s">
        <v>2276</v>
      </c>
      <c r="L711" s="4" t="s">
        <v>2276</v>
      </c>
      <c r="M711" s="4" t="s">
        <v>2728</v>
      </c>
      <c r="N711" s="4" t="s">
        <v>2276</v>
      </c>
      <c r="O711" s="4" t="s">
        <v>2276</v>
      </c>
      <c r="P711" s="4" t="s">
        <v>2276</v>
      </c>
      <c r="Q711" s="4" t="s">
        <v>2276</v>
      </c>
      <c r="R711" s="4" t="s">
        <v>2276</v>
      </c>
      <c r="S711" s="4" t="s">
        <v>2276</v>
      </c>
      <c r="T711" s="4" t="s">
        <v>2276</v>
      </c>
      <c r="U711" s="4" t="s">
        <v>2276</v>
      </c>
      <c r="V711" s="4" t="s">
        <v>2276</v>
      </c>
      <c r="W711" s="4" t="s">
        <v>6630</v>
      </c>
    </row>
    <row r="712" spans="1:23" ht="57" customHeight="1">
      <c r="A712" s="4" t="s">
        <v>6407</v>
      </c>
      <c r="B712" s="4" t="s">
        <v>6637</v>
      </c>
      <c r="C712" s="4" t="s">
        <v>1105</v>
      </c>
      <c r="D712" s="4" t="s">
        <v>2276</v>
      </c>
      <c r="E712" s="4" t="s">
        <v>2649</v>
      </c>
      <c r="F712" s="4" t="s">
        <v>74</v>
      </c>
      <c r="G712" s="4"/>
      <c r="H712" s="58" t="s">
        <v>2276</v>
      </c>
      <c r="I712" s="4" t="s">
        <v>2276</v>
      </c>
      <c r="J712" s="4" t="s">
        <v>2276</v>
      </c>
      <c r="K712" s="4" t="s">
        <v>2276</v>
      </c>
      <c r="L712" s="4" t="s">
        <v>2276</v>
      </c>
      <c r="M712" s="4" t="s">
        <v>2728</v>
      </c>
      <c r="N712" s="4" t="s">
        <v>2276</v>
      </c>
      <c r="O712" s="4" t="s">
        <v>2276</v>
      </c>
      <c r="P712" s="4" t="s">
        <v>2276</v>
      </c>
      <c r="Q712" s="4" t="s">
        <v>2276</v>
      </c>
      <c r="R712" s="4" t="s">
        <v>2276</v>
      </c>
      <c r="S712" s="4" t="s">
        <v>2276</v>
      </c>
      <c r="T712" s="4" t="s">
        <v>2276</v>
      </c>
      <c r="U712" s="4" t="s">
        <v>2276</v>
      </c>
      <c r="V712" s="4" t="s">
        <v>2276</v>
      </c>
      <c r="W712" s="4" t="s">
        <v>6630</v>
      </c>
    </row>
    <row r="713" spans="1:23" ht="57" customHeight="1">
      <c r="A713" s="4" t="s">
        <v>6408</v>
      </c>
      <c r="B713" s="4" t="s">
        <v>6638</v>
      </c>
      <c r="C713" s="4" t="s">
        <v>1105</v>
      </c>
      <c r="D713" s="4" t="s">
        <v>2276</v>
      </c>
      <c r="E713" s="4" t="s">
        <v>2649</v>
      </c>
      <c r="F713" s="4" t="s">
        <v>74</v>
      </c>
      <c r="G713" s="4"/>
      <c r="H713" s="58" t="s">
        <v>2276</v>
      </c>
      <c r="I713" s="4" t="s">
        <v>2276</v>
      </c>
      <c r="J713" s="4" t="s">
        <v>2276</v>
      </c>
      <c r="K713" s="4" t="s">
        <v>2276</v>
      </c>
      <c r="L713" s="4" t="s">
        <v>2276</v>
      </c>
      <c r="M713" s="4" t="s">
        <v>2728</v>
      </c>
      <c r="N713" s="4" t="s">
        <v>2276</v>
      </c>
      <c r="O713" s="4" t="s">
        <v>2276</v>
      </c>
      <c r="P713" s="4" t="s">
        <v>2276</v>
      </c>
      <c r="Q713" s="4" t="s">
        <v>2276</v>
      </c>
      <c r="R713" s="4" t="s">
        <v>2276</v>
      </c>
      <c r="S713" s="4" t="s">
        <v>2276</v>
      </c>
      <c r="T713" s="4" t="s">
        <v>2276</v>
      </c>
      <c r="U713" s="4" t="s">
        <v>2276</v>
      </c>
      <c r="V713" s="4" t="s">
        <v>2276</v>
      </c>
      <c r="W713" s="4" t="s">
        <v>6630</v>
      </c>
    </row>
    <row r="714" spans="1:23" ht="57" customHeight="1">
      <c r="A714" s="4" t="s">
        <v>6413</v>
      </c>
      <c r="B714" s="4" t="s">
        <v>6561</v>
      </c>
      <c r="C714" s="4" t="s">
        <v>1105</v>
      </c>
      <c r="D714" s="4" t="s">
        <v>2276</v>
      </c>
      <c r="E714" s="4" t="s">
        <v>2649</v>
      </c>
      <c r="F714" s="4" t="s">
        <v>74</v>
      </c>
      <c r="G714" s="4"/>
      <c r="H714" s="4" t="s">
        <v>541</v>
      </c>
      <c r="I714" s="4" t="s">
        <v>2276</v>
      </c>
      <c r="J714" s="4" t="s">
        <v>2276</v>
      </c>
      <c r="K714" s="4" t="s">
        <v>2276</v>
      </c>
      <c r="L714" s="4" t="s">
        <v>2276</v>
      </c>
      <c r="M714" s="4" t="s">
        <v>2276</v>
      </c>
      <c r="N714" s="4" t="s">
        <v>2276</v>
      </c>
      <c r="O714" s="4" t="s">
        <v>2276</v>
      </c>
      <c r="P714" s="4" t="s">
        <v>2276</v>
      </c>
      <c r="Q714" s="4" t="s">
        <v>2276</v>
      </c>
      <c r="R714" s="4" t="s">
        <v>534</v>
      </c>
      <c r="S714" s="4" t="s">
        <v>534</v>
      </c>
      <c r="T714" s="4" t="s">
        <v>2276</v>
      </c>
      <c r="U714" s="4" t="s">
        <v>2276</v>
      </c>
      <c r="V714" s="4" t="s">
        <v>2276</v>
      </c>
      <c r="W714" s="4" t="s">
        <v>6631</v>
      </c>
    </row>
    <row r="715" spans="1:23" ht="57" customHeight="1">
      <c r="A715" s="4" t="s">
        <v>6413</v>
      </c>
      <c r="B715" s="4" t="s">
        <v>6639</v>
      </c>
      <c r="C715" s="4" t="s">
        <v>24</v>
      </c>
      <c r="D715" s="4" t="s">
        <v>2276</v>
      </c>
      <c r="E715" s="4" t="s">
        <v>2649</v>
      </c>
      <c r="F715" s="4" t="s">
        <v>74</v>
      </c>
      <c r="G715" s="4"/>
      <c r="H715" s="4" t="s">
        <v>541</v>
      </c>
      <c r="I715" s="4" t="s">
        <v>2276</v>
      </c>
      <c r="J715" s="4" t="s">
        <v>2276</v>
      </c>
      <c r="K715" s="4" t="s">
        <v>2276</v>
      </c>
      <c r="L715" s="4" t="s">
        <v>2276</v>
      </c>
      <c r="M715" s="4" t="s">
        <v>2671</v>
      </c>
      <c r="N715" s="4" t="s">
        <v>534</v>
      </c>
      <c r="O715" s="4" t="s">
        <v>2276</v>
      </c>
      <c r="P715" s="4" t="s">
        <v>2276</v>
      </c>
      <c r="Q715" s="4" t="s">
        <v>2276</v>
      </c>
      <c r="R715" s="4" t="s">
        <v>2276</v>
      </c>
      <c r="S715" s="4" t="s">
        <v>2276</v>
      </c>
      <c r="T715" s="4" t="s">
        <v>2276</v>
      </c>
      <c r="U715" s="4" t="s">
        <v>2276</v>
      </c>
      <c r="V715" s="4" t="s">
        <v>2276</v>
      </c>
      <c r="W715" s="4"/>
    </row>
    <row r="716" spans="1:23" ht="57" customHeight="1">
      <c r="A716" s="4" t="s">
        <v>6414</v>
      </c>
      <c r="B716" s="4" t="s">
        <v>6562</v>
      </c>
      <c r="C716" s="4" t="s">
        <v>1105</v>
      </c>
      <c r="D716" s="4" t="s">
        <v>2276</v>
      </c>
      <c r="E716" s="4" t="s">
        <v>2649</v>
      </c>
      <c r="F716" s="4" t="s">
        <v>74</v>
      </c>
      <c r="G716" s="4"/>
      <c r="H716" s="4" t="s">
        <v>541</v>
      </c>
      <c r="I716" s="4" t="s">
        <v>2276</v>
      </c>
      <c r="J716" s="4" t="s">
        <v>2276</v>
      </c>
      <c r="K716" s="4" t="s">
        <v>2276</v>
      </c>
      <c r="L716" s="4" t="s">
        <v>2276</v>
      </c>
      <c r="M716" s="4" t="s">
        <v>2671</v>
      </c>
      <c r="N716" s="4" t="s">
        <v>534</v>
      </c>
      <c r="O716" s="4" t="s">
        <v>2276</v>
      </c>
      <c r="P716" s="4" t="s">
        <v>2276</v>
      </c>
      <c r="Q716" s="4" t="s">
        <v>2276</v>
      </c>
      <c r="R716" s="4" t="s">
        <v>534</v>
      </c>
      <c r="S716" s="4" t="s">
        <v>534</v>
      </c>
      <c r="T716" s="4" t="s">
        <v>2276</v>
      </c>
      <c r="U716" s="4" t="s">
        <v>2276</v>
      </c>
      <c r="V716" s="4" t="s">
        <v>2276</v>
      </c>
      <c r="W716" s="4" t="s">
        <v>6632</v>
      </c>
    </row>
    <row r="717" spans="1:23" ht="57" customHeight="1">
      <c r="A717" s="4" t="s">
        <v>6414</v>
      </c>
      <c r="B717" s="4" t="s">
        <v>6600</v>
      </c>
      <c r="C717" s="4" t="s">
        <v>24</v>
      </c>
      <c r="D717" s="4" t="s">
        <v>2276</v>
      </c>
      <c r="E717" s="4" t="s">
        <v>2649</v>
      </c>
      <c r="F717" s="4" t="s">
        <v>74</v>
      </c>
      <c r="G717" s="4"/>
      <c r="H717" s="4" t="s">
        <v>541</v>
      </c>
      <c r="I717" s="4" t="s">
        <v>2276</v>
      </c>
      <c r="J717" s="4" t="s">
        <v>2276</v>
      </c>
      <c r="K717" s="4" t="s">
        <v>2276</v>
      </c>
      <c r="L717" s="4" t="s">
        <v>2276</v>
      </c>
      <c r="M717" s="4" t="s">
        <v>2671</v>
      </c>
      <c r="N717" s="4" t="s">
        <v>534</v>
      </c>
      <c r="O717" s="4" t="s">
        <v>2276</v>
      </c>
      <c r="P717" s="4" t="s">
        <v>2276</v>
      </c>
      <c r="Q717" s="4" t="s">
        <v>2276</v>
      </c>
      <c r="R717" s="4" t="s">
        <v>2276</v>
      </c>
      <c r="S717" s="4" t="s">
        <v>2276</v>
      </c>
      <c r="T717" s="4" t="s">
        <v>2276</v>
      </c>
      <c r="U717" s="4" t="s">
        <v>2276</v>
      </c>
      <c r="V717" s="4" t="s">
        <v>2276</v>
      </c>
      <c r="W717" s="4"/>
    </row>
    <row r="718" spans="1:23" ht="57" customHeight="1">
      <c r="A718" s="4" t="s">
        <v>6415</v>
      </c>
      <c r="B718" s="4" t="s">
        <v>6563</v>
      </c>
      <c r="C718" s="4" t="s">
        <v>1105</v>
      </c>
      <c r="D718" s="4" t="s">
        <v>2276</v>
      </c>
      <c r="E718" s="4" t="s">
        <v>2649</v>
      </c>
      <c r="F718" s="4" t="s">
        <v>74</v>
      </c>
      <c r="G718" s="4"/>
      <c r="H718" s="4" t="s">
        <v>541</v>
      </c>
      <c r="I718" s="4" t="s">
        <v>2276</v>
      </c>
      <c r="J718" s="4" t="s">
        <v>2276</v>
      </c>
      <c r="K718" s="4" t="s">
        <v>2276</v>
      </c>
      <c r="L718" s="4" t="s">
        <v>2276</v>
      </c>
      <c r="M718" s="4" t="s">
        <v>2276</v>
      </c>
      <c r="N718" s="4" t="s">
        <v>2276</v>
      </c>
      <c r="O718" s="4" t="s">
        <v>2276</v>
      </c>
      <c r="P718" s="4" t="s">
        <v>2276</v>
      </c>
      <c r="Q718" s="4" t="s">
        <v>2276</v>
      </c>
      <c r="R718" s="4" t="s">
        <v>534</v>
      </c>
      <c r="S718" s="4" t="s">
        <v>534</v>
      </c>
      <c r="T718" s="4" t="s">
        <v>2276</v>
      </c>
      <c r="U718" s="4" t="s">
        <v>2276</v>
      </c>
      <c r="V718" s="4" t="s">
        <v>2276</v>
      </c>
      <c r="W718" s="4" t="s">
        <v>6632</v>
      </c>
    </row>
    <row r="719" spans="1:23" ht="57" customHeight="1">
      <c r="A719" s="4" t="s">
        <v>6415</v>
      </c>
      <c r="B719" s="4" t="s">
        <v>6601</v>
      </c>
      <c r="C719" s="4" t="s">
        <v>24</v>
      </c>
      <c r="D719" s="4" t="s">
        <v>2276</v>
      </c>
      <c r="E719" s="4" t="s">
        <v>2649</v>
      </c>
      <c r="F719" s="4" t="s">
        <v>74</v>
      </c>
      <c r="G719" s="4"/>
      <c r="H719" s="4" t="s">
        <v>541</v>
      </c>
      <c r="I719" s="4" t="s">
        <v>2276</v>
      </c>
      <c r="J719" s="4" t="s">
        <v>2276</v>
      </c>
      <c r="K719" s="4" t="s">
        <v>2276</v>
      </c>
      <c r="L719" s="4" t="s">
        <v>2276</v>
      </c>
      <c r="M719" s="4" t="s">
        <v>2671</v>
      </c>
      <c r="N719" s="4" t="s">
        <v>534</v>
      </c>
      <c r="O719" s="4" t="s">
        <v>2276</v>
      </c>
      <c r="P719" s="4" t="s">
        <v>2276</v>
      </c>
      <c r="Q719" s="4" t="s">
        <v>2276</v>
      </c>
      <c r="R719" s="4" t="s">
        <v>2276</v>
      </c>
      <c r="S719" s="4" t="s">
        <v>2276</v>
      </c>
      <c r="T719" s="4" t="s">
        <v>2276</v>
      </c>
      <c r="U719" s="4" t="s">
        <v>2276</v>
      </c>
      <c r="V719" s="4" t="s">
        <v>2276</v>
      </c>
      <c r="W719" s="4"/>
    </row>
    <row r="720" spans="1:23" ht="57" customHeight="1">
      <c r="A720" s="4" t="s">
        <v>6415</v>
      </c>
      <c r="B720" s="4" t="s">
        <v>6602</v>
      </c>
      <c r="C720" s="4" t="s">
        <v>2656</v>
      </c>
      <c r="D720" s="4" t="s">
        <v>2276</v>
      </c>
      <c r="E720" s="4" t="s">
        <v>2649</v>
      </c>
      <c r="F720" s="4" t="s">
        <v>74</v>
      </c>
      <c r="G720" s="4"/>
      <c r="H720" s="4" t="s">
        <v>541</v>
      </c>
      <c r="I720" s="4" t="s">
        <v>2276</v>
      </c>
      <c r="J720" s="4" t="s">
        <v>2276</v>
      </c>
      <c r="K720" s="4" t="s">
        <v>2276</v>
      </c>
      <c r="L720" s="4" t="s">
        <v>2276</v>
      </c>
      <c r="M720" s="4" t="s">
        <v>2671</v>
      </c>
      <c r="N720" s="4" t="s">
        <v>534</v>
      </c>
      <c r="O720" s="4" t="s">
        <v>2276</v>
      </c>
      <c r="P720" s="4" t="s">
        <v>2276</v>
      </c>
      <c r="Q720" s="4" t="s">
        <v>2276</v>
      </c>
      <c r="R720" s="4" t="s">
        <v>2276</v>
      </c>
      <c r="S720" s="4" t="s">
        <v>2276</v>
      </c>
      <c r="T720" s="4" t="s">
        <v>2276</v>
      </c>
      <c r="U720" s="4" t="s">
        <v>2276</v>
      </c>
      <c r="V720" s="4" t="s">
        <v>2276</v>
      </c>
      <c r="W720" s="4"/>
    </row>
    <row r="721" spans="1:23" ht="57" customHeight="1">
      <c r="A721" s="4" t="s">
        <v>6416</v>
      </c>
      <c r="B721" s="4" t="s">
        <v>6564</v>
      </c>
      <c r="C721" s="4" t="s">
        <v>1105</v>
      </c>
      <c r="D721" s="4" t="s">
        <v>2276</v>
      </c>
      <c r="E721" s="4" t="s">
        <v>2649</v>
      </c>
      <c r="F721" s="4" t="s">
        <v>74</v>
      </c>
      <c r="G721" s="4"/>
      <c r="H721" s="4" t="s">
        <v>541</v>
      </c>
      <c r="I721" s="4" t="s">
        <v>2276</v>
      </c>
      <c r="J721" s="4" t="s">
        <v>2276</v>
      </c>
      <c r="K721" s="4" t="s">
        <v>2276</v>
      </c>
      <c r="L721" s="4" t="s">
        <v>2276</v>
      </c>
      <c r="M721" s="4" t="s">
        <v>2276</v>
      </c>
      <c r="N721" s="4" t="s">
        <v>2276</v>
      </c>
      <c r="O721" s="4" t="s">
        <v>2276</v>
      </c>
      <c r="P721" s="4" t="s">
        <v>2276</v>
      </c>
      <c r="Q721" s="4" t="s">
        <v>2276</v>
      </c>
      <c r="R721" s="4" t="s">
        <v>534</v>
      </c>
      <c r="S721" s="4" t="s">
        <v>534</v>
      </c>
      <c r="T721" s="4" t="s">
        <v>2276</v>
      </c>
      <c r="U721" s="4" t="s">
        <v>2276</v>
      </c>
      <c r="V721" s="4" t="s">
        <v>2276</v>
      </c>
      <c r="W721" s="4" t="s">
        <v>6632</v>
      </c>
    </row>
    <row r="722" spans="1:23" ht="57" customHeight="1">
      <c r="A722" s="4" t="s">
        <v>6416</v>
      </c>
      <c r="B722" s="4" t="s">
        <v>6604</v>
      </c>
      <c r="C722" s="4" t="s">
        <v>24</v>
      </c>
      <c r="D722" s="4" t="s">
        <v>2276</v>
      </c>
      <c r="E722" s="4" t="s">
        <v>2649</v>
      </c>
      <c r="F722" s="4" t="s">
        <v>74</v>
      </c>
      <c r="G722" s="4"/>
      <c r="H722" s="4" t="s">
        <v>541</v>
      </c>
      <c r="I722" s="4" t="s">
        <v>2276</v>
      </c>
      <c r="J722" s="4" t="s">
        <v>2276</v>
      </c>
      <c r="K722" s="4" t="s">
        <v>2276</v>
      </c>
      <c r="L722" s="4" t="s">
        <v>2276</v>
      </c>
      <c r="M722" s="4" t="s">
        <v>2671</v>
      </c>
      <c r="N722" s="4" t="s">
        <v>534</v>
      </c>
      <c r="O722" s="4" t="s">
        <v>2276</v>
      </c>
      <c r="P722" s="4" t="s">
        <v>2276</v>
      </c>
      <c r="Q722" s="4" t="s">
        <v>2276</v>
      </c>
      <c r="R722" s="4" t="s">
        <v>2276</v>
      </c>
      <c r="S722" s="4" t="s">
        <v>2276</v>
      </c>
      <c r="T722" s="4" t="s">
        <v>2276</v>
      </c>
      <c r="U722" s="4" t="s">
        <v>2276</v>
      </c>
      <c r="V722" s="4" t="s">
        <v>2276</v>
      </c>
      <c r="W722" s="4"/>
    </row>
    <row r="723" spans="1:23" ht="57" customHeight="1">
      <c r="A723" s="4" t="s">
        <v>6416</v>
      </c>
      <c r="B723" s="4" t="s">
        <v>6605</v>
      </c>
      <c r="C723" s="4" t="s">
        <v>2656</v>
      </c>
      <c r="D723" s="4" t="s">
        <v>2276</v>
      </c>
      <c r="E723" s="4" t="s">
        <v>2649</v>
      </c>
      <c r="F723" s="4" t="s">
        <v>74</v>
      </c>
      <c r="G723" s="4"/>
      <c r="H723" s="4" t="s">
        <v>541</v>
      </c>
      <c r="I723" s="4" t="s">
        <v>2276</v>
      </c>
      <c r="J723" s="4" t="s">
        <v>2276</v>
      </c>
      <c r="K723" s="4" t="s">
        <v>2276</v>
      </c>
      <c r="L723" s="4" t="s">
        <v>2276</v>
      </c>
      <c r="M723" s="4" t="s">
        <v>2671</v>
      </c>
      <c r="N723" s="4" t="s">
        <v>534</v>
      </c>
      <c r="O723" s="4" t="s">
        <v>2276</v>
      </c>
      <c r="P723" s="4" t="s">
        <v>2276</v>
      </c>
      <c r="Q723" s="4" t="s">
        <v>2276</v>
      </c>
      <c r="R723" s="4" t="s">
        <v>2276</v>
      </c>
      <c r="S723" s="4" t="s">
        <v>2276</v>
      </c>
      <c r="T723" s="4" t="s">
        <v>2276</v>
      </c>
      <c r="U723" s="4" t="s">
        <v>2276</v>
      </c>
      <c r="V723" s="4" t="s">
        <v>2276</v>
      </c>
      <c r="W723" s="4"/>
    </row>
    <row r="724" spans="1:23" ht="57" customHeight="1">
      <c r="A724" s="4" t="s">
        <v>6417</v>
      </c>
      <c r="B724" s="4" t="s">
        <v>6565</v>
      </c>
      <c r="C724" s="4" t="s">
        <v>1105</v>
      </c>
      <c r="D724" s="4" t="s">
        <v>2276</v>
      </c>
      <c r="E724" s="4" t="s">
        <v>2649</v>
      </c>
      <c r="F724" s="4" t="s">
        <v>74</v>
      </c>
      <c r="G724" s="4"/>
      <c r="H724" s="4" t="s">
        <v>541</v>
      </c>
      <c r="I724" s="4" t="s">
        <v>2276</v>
      </c>
      <c r="J724" s="4" t="s">
        <v>2276</v>
      </c>
      <c r="K724" s="4" t="s">
        <v>2276</v>
      </c>
      <c r="L724" s="4" t="s">
        <v>2276</v>
      </c>
      <c r="M724" s="4" t="s">
        <v>2276</v>
      </c>
      <c r="N724" s="4" t="s">
        <v>2276</v>
      </c>
      <c r="O724" s="4" t="s">
        <v>2276</v>
      </c>
      <c r="P724" s="4" t="s">
        <v>2276</v>
      </c>
      <c r="Q724" s="4" t="s">
        <v>2276</v>
      </c>
      <c r="R724" s="4" t="s">
        <v>534</v>
      </c>
      <c r="S724" s="4" t="s">
        <v>534</v>
      </c>
      <c r="T724" s="4" t="s">
        <v>2276</v>
      </c>
      <c r="U724" s="4" t="s">
        <v>2276</v>
      </c>
      <c r="V724" s="4" t="s">
        <v>2276</v>
      </c>
      <c r="W724" s="4" t="s">
        <v>6632</v>
      </c>
    </row>
    <row r="725" spans="1:23" ht="57" customHeight="1">
      <c r="A725" s="4" t="s">
        <v>6417</v>
      </c>
      <c r="B725" s="4" t="s">
        <v>6607</v>
      </c>
      <c r="C725" s="4" t="s">
        <v>24</v>
      </c>
      <c r="D725" s="4" t="s">
        <v>2276</v>
      </c>
      <c r="E725" s="4" t="s">
        <v>2649</v>
      </c>
      <c r="F725" s="4" t="s">
        <v>74</v>
      </c>
      <c r="G725" s="4"/>
      <c r="H725" s="4" t="s">
        <v>541</v>
      </c>
      <c r="I725" s="4" t="s">
        <v>2276</v>
      </c>
      <c r="J725" s="4" t="s">
        <v>2276</v>
      </c>
      <c r="K725" s="4" t="s">
        <v>2276</v>
      </c>
      <c r="L725" s="4" t="s">
        <v>2276</v>
      </c>
      <c r="M725" s="4" t="s">
        <v>2671</v>
      </c>
      <c r="N725" s="4" t="s">
        <v>534</v>
      </c>
      <c r="O725" s="4" t="s">
        <v>2276</v>
      </c>
      <c r="P725" s="4" t="s">
        <v>2276</v>
      </c>
      <c r="Q725" s="4" t="s">
        <v>2276</v>
      </c>
      <c r="R725" s="4" t="s">
        <v>2276</v>
      </c>
      <c r="S725" s="4" t="s">
        <v>2276</v>
      </c>
      <c r="T725" s="4" t="s">
        <v>2276</v>
      </c>
      <c r="U725" s="4" t="s">
        <v>2276</v>
      </c>
      <c r="V725" s="4" t="s">
        <v>2276</v>
      </c>
      <c r="W725" s="4"/>
    </row>
    <row r="726" spans="1:23" ht="57" customHeight="1">
      <c r="A726" s="4" t="s">
        <v>6418</v>
      </c>
      <c r="B726" s="4" t="s">
        <v>6566</v>
      </c>
      <c r="C726" s="4" t="s">
        <v>1105</v>
      </c>
      <c r="D726" s="4" t="s">
        <v>2276</v>
      </c>
      <c r="E726" s="4" t="s">
        <v>2649</v>
      </c>
      <c r="F726" s="4" t="s">
        <v>74</v>
      </c>
      <c r="G726" s="4"/>
      <c r="H726" s="4" t="s">
        <v>541</v>
      </c>
      <c r="I726" s="4" t="s">
        <v>2276</v>
      </c>
      <c r="J726" s="4" t="s">
        <v>2276</v>
      </c>
      <c r="K726" s="4" t="s">
        <v>2276</v>
      </c>
      <c r="L726" s="4" t="s">
        <v>2276</v>
      </c>
      <c r="M726" s="4" t="s">
        <v>2276</v>
      </c>
      <c r="N726" s="4" t="s">
        <v>2276</v>
      </c>
      <c r="O726" s="4" t="s">
        <v>2276</v>
      </c>
      <c r="P726" s="4" t="s">
        <v>2276</v>
      </c>
      <c r="Q726" s="4" t="s">
        <v>2276</v>
      </c>
      <c r="R726" s="4" t="s">
        <v>534</v>
      </c>
      <c r="S726" s="4" t="s">
        <v>534</v>
      </c>
      <c r="T726" s="4" t="s">
        <v>2276</v>
      </c>
      <c r="U726" s="4" t="s">
        <v>2276</v>
      </c>
      <c r="V726" s="4" t="s">
        <v>2276</v>
      </c>
      <c r="W726" s="4" t="s">
        <v>6632</v>
      </c>
    </row>
    <row r="727" spans="1:23" ht="57" customHeight="1">
      <c r="A727" s="4" t="s">
        <v>6418</v>
      </c>
      <c r="B727" s="4" t="s">
        <v>6608</v>
      </c>
      <c r="C727" s="4" t="s">
        <v>24</v>
      </c>
      <c r="D727" s="4" t="s">
        <v>2276</v>
      </c>
      <c r="E727" s="4" t="s">
        <v>2649</v>
      </c>
      <c r="F727" s="4" t="s">
        <v>74</v>
      </c>
      <c r="G727" s="4"/>
      <c r="H727" s="4" t="s">
        <v>541</v>
      </c>
      <c r="I727" s="4" t="s">
        <v>2276</v>
      </c>
      <c r="J727" s="4" t="s">
        <v>2276</v>
      </c>
      <c r="K727" s="4" t="s">
        <v>2276</v>
      </c>
      <c r="L727" s="4" t="s">
        <v>2276</v>
      </c>
      <c r="M727" s="4" t="s">
        <v>2671</v>
      </c>
      <c r="N727" s="4" t="s">
        <v>534</v>
      </c>
      <c r="O727" s="4" t="s">
        <v>2276</v>
      </c>
      <c r="P727" s="4" t="s">
        <v>2276</v>
      </c>
      <c r="Q727" s="4" t="s">
        <v>2276</v>
      </c>
      <c r="R727" s="4" t="s">
        <v>2276</v>
      </c>
      <c r="S727" s="4" t="s">
        <v>2276</v>
      </c>
      <c r="T727" s="4" t="s">
        <v>2276</v>
      </c>
      <c r="U727" s="4" t="s">
        <v>2276</v>
      </c>
      <c r="V727" s="4" t="s">
        <v>2276</v>
      </c>
      <c r="W727" s="4"/>
    </row>
    <row r="728" spans="1:23" ht="57" customHeight="1">
      <c r="A728" s="4" t="s">
        <v>6567</v>
      </c>
      <c r="B728" s="4" t="s">
        <v>6568</v>
      </c>
      <c r="C728" s="4" t="s">
        <v>1105</v>
      </c>
      <c r="D728" s="4" t="s">
        <v>2276</v>
      </c>
      <c r="E728" s="4" t="s">
        <v>2649</v>
      </c>
      <c r="F728" s="4" t="s">
        <v>74</v>
      </c>
      <c r="G728" s="4"/>
      <c r="H728" s="4" t="s">
        <v>541</v>
      </c>
      <c r="I728" s="4" t="s">
        <v>2276</v>
      </c>
      <c r="J728" s="4" t="s">
        <v>2276</v>
      </c>
      <c r="K728" s="4" t="s">
        <v>2276</v>
      </c>
      <c r="L728" s="4" t="s">
        <v>2276</v>
      </c>
      <c r="M728" s="4" t="s">
        <v>2276</v>
      </c>
      <c r="N728" s="4" t="s">
        <v>2276</v>
      </c>
      <c r="O728" s="4" t="s">
        <v>2276</v>
      </c>
      <c r="P728" s="4" t="s">
        <v>2276</v>
      </c>
      <c r="Q728" s="4" t="s">
        <v>2276</v>
      </c>
      <c r="R728" s="4" t="s">
        <v>534</v>
      </c>
      <c r="S728" s="4" t="s">
        <v>534</v>
      </c>
      <c r="T728" s="4" t="s">
        <v>2276</v>
      </c>
      <c r="U728" s="4" t="s">
        <v>2276</v>
      </c>
      <c r="V728" s="4" t="s">
        <v>2276</v>
      </c>
      <c r="W728" s="4" t="s">
        <v>6632</v>
      </c>
    </row>
    <row r="729" spans="1:23" ht="57" customHeight="1">
      <c r="A729" s="4" t="s">
        <v>6567</v>
      </c>
      <c r="B729" s="4" t="s">
        <v>6609</v>
      </c>
      <c r="C729" s="4" t="s">
        <v>24</v>
      </c>
      <c r="D729" s="4" t="s">
        <v>2276</v>
      </c>
      <c r="E729" s="4" t="s">
        <v>2649</v>
      </c>
      <c r="F729" s="4" t="s">
        <v>74</v>
      </c>
      <c r="G729" s="4"/>
      <c r="H729" s="4" t="s">
        <v>541</v>
      </c>
      <c r="I729" s="4" t="s">
        <v>2276</v>
      </c>
      <c r="J729" s="4" t="s">
        <v>2276</v>
      </c>
      <c r="K729" s="4" t="s">
        <v>2276</v>
      </c>
      <c r="L729" s="4" t="s">
        <v>2276</v>
      </c>
      <c r="M729" s="4" t="s">
        <v>2671</v>
      </c>
      <c r="N729" s="4" t="s">
        <v>534</v>
      </c>
      <c r="O729" s="4" t="s">
        <v>2276</v>
      </c>
      <c r="P729" s="4" t="s">
        <v>2276</v>
      </c>
      <c r="Q729" s="4" t="s">
        <v>2276</v>
      </c>
      <c r="R729" s="4" t="s">
        <v>2276</v>
      </c>
      <c r="S729" s="4" t="s">
        <v>2276</v>
      </c>
      <c r="T729" s="4" t="s">
        <v>2276</v>
      </c>
      <c r="U729" s="4" t="s">
        <v>2276</v>
      </c>
      <c r="V729" s="4" t="s">
        <v>2276</v>
      </c>
      <c r="W729" s="4"/>
    </row>
    <row r="730" spans="1:23" ht="57" customHeight="1">
      <c r="A730" s="4" t="s">
        <v>6420</v>
      </c>
      <c r="B730" s="4" t="s">
        <v>6569</v>
      </c>
      <c r="C730" s="4" t="s">
        <v>1105</v>
      </c>
      <c r="D730" s="4" t="s">
        <v>2276</v>
      </c>
      <c r="E730" s="4" t="s">
        <v>2649</v>
      </c>
      <c r="F730" s="4" t="s">
        <v>74</v>
      </c>
      <c r="G730" s="4"/>
      <c r="H730" s="4" t="s">
        <v>541</v>
      </c>
      <c r="I730" s="4" t="s">
        <v>2276</v>
      </c>
      <c r="J730" s="4" t="s">
        <v>2276</v>
      </c>
      <c r="K730" s="4" t="s">
        <v>2276</v>
      </c>
      <c r="L730" s="4" t="s">
        <v>2276</v>
      </c>
      <c r="M730" s="4" t="s">
        <v>2276</v>
      </c>
      <c r="N730" s="4" t="s">
        <v>2276</v>
      </c>
      <c r="O730" s="4" t="s">
        <v>2276</v>
      </c>
      <c r="P730" s="4" t="s">
        <v>2276</v>
      </c>
      <c r="Q730" s="4" t="s">
        <v>2276</v>
      </c>
      <c r="R730" s="4" t="s">
        <v>534</v>
      </c>
      <c r="S730" s="4" t="s">
        <v>534</v>
      </c>
      <c r="T730" s="4" t="s">
        <v>2276</v>
      </c>
      <c r="U730" s="4" t="s">
        <v>2276</v>
      </c>
      <c r="V730" s="4" t="s">
        <v>2276</v>
      </c>
      <c r="W730" s="4" t="s">
        <v>6632</v>
      </c>
    </row>
    <row r="731" spans="1:23" ht="57" customHeight="1">
      <c r="A731" s="4" t="s">
        <v>6420</v>
      </c>
      <c r="B731" s="4" t="s">
        <v>6611</v>
      </c>
      <c r="C731" s="4" t="s">
        <v>24</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2276</v>
      </c>
      <c r="S731" s="4" t="s">
        <v>2276</v>
      </c>
      <c r="T731" s="4" t="s">
        <v>2276</v>
      </c>
      <c r="U731" s="4" t="s">
        <v>2276</v>
      </c>
      <c r="V731" s="4" t="s">
        <v>2276</v>
      </c>
      <c r="W731" s="4"/>
    </row>
    <row r="732" spans="1:23" ht="57" customHeight="1">
      <c r="A732" s="4" t="s">
        <v>6421</v>
      </c>
      <c r="B732" s="4" t="s">
        <v>6570</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6632</v>
      </c>
    </row>
    <row r="733" spans="1:23" ht="57" customHeight="1">
      <c r="A733" s="4" t="s">
        <v>6421</v>
      </c>
      <c r="B733" s="4" t="s">
        <v>6612</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6422</v>
      </c>
      <c r="B734" s="4" t="s">
        <v>6571</v>
      </c>
      <c r="C734" s="4" t="s">
        <v>1105</v>
      </c>
      <c r="D734" s="4" t="s">
        <v>2276</v>
      </c>
      <c r="E734" s="4" t="s">
        <v>2649</v>
      </c>
      <c r="F734" s="4" t="s">
        <v>74</v>
      </c>
      <c r="G734" s="4"/>
      <c r="H734" s="4" t="s">
        <v>541</v>
      </c>
      <c r="I734" s="4" t="s">
        <v>2276</v>
      </c>
      <c r="J734" s="4" t="s">
        <v>2276</v>
      </c>
      <c r="K734" s="4" t="s">
        <v>2276</v>
      </c>
      <c r="L734" s="4" t="s">
        <v>2276</v>
      </c>
      <c r="M734" s="4" t="s">
        <v>2276</v>
      </c>
      <c r="N734" s="4" t="s">
        <v>2276</v>
      </c>
      <c r="O734" s="4" t="s">
        <v>2276</v>
      </c>
      <c r="P734" s="4" t="s">
        <v>2276</v>
      </c>
      <c r="Q734" s="4" t="s">
        <v>2276</v>
      </c>
      <c r="R734" s="4" t="s">
        <v>534</v>
      </c>
      <c r="S734" s="4" t="s">
        <v>534</v>
      </c>
      <c r="T734" s="4" t="s">
        <v>2276</v>
      </c>
      <c r="U734" s="4" t="s">
        <v>2276</v>
      </c>
      <c r="V734" s="4" t="s">
        <v>2276</v>
      </c>
      <c r="W734" s="4" t="s">
        <v>6632</v>
      </c>
    </row>
    <row r="735" spans="1:23" ht="57" customHeight="1">
      <c r="A735" s="4" t="s">
        <v>6422</v>
      </c>
      <c r="B735" s="4" t="s">
        <v>6613</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6423</v>
      </c>
      <c r="B736" s="4" t="s">
        <v>6572</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6632</v>
      </c>
    </row>
    <row r="737" spans="1:23" ht="57" customHeight="1">
      <c r="A737" s="4" t="s">
        <v>6423</v>
      </c>
      <c r="B737" s="4" t="s">
        <v>6615</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6424</v>
      </c>
      <c r="B738" s="4" t="s">
        <v>6573</v>
      </c>
      <c r="C738" s="4" t="s">
        <v>1105</v>
      </c>
      <c r="D738" s="4" t="s">
        <v>2276</v>
      </c>
      <c r="E738" s="4" t="s">
        <v>137</v>
      </c>
      <c r="F738" s="4" t="s">
        <v>74</v>
      </c>
      <c r="G738" s="4"/>
      <c r="H738" s="4" t="s">
        <v>541</v>
      </c>
      <c r="I738" s="4" t="s">
        <v>2276</v>
      </c>
      <c r="J738" s="4" t="s">
        <v>2276</v>
      </c>
      <c r="K738" s="4" t="s">
        <v>2276</v>
      </c>
      <c r="L738" s="4" t="s">
        <v>2276</v>
      </c>
      <c r="M738" s="4" t="s">
        <v>2671</v>
      </c>
      <c r="N738" s="4"/>
      <c r="O738" s="4" t="s">
        <v>534</v>
      </c>
      <c r="P738" s="4" t="s">
        <v>2276</v>
      </c>
      <c r="Q738" s="4" t="s">
        <v>2276</v>
      </c>
      <c r="R738" s="4" t="s">
        <v>2276</v>
      </c>
      <c r="S738" s="4" t="s">
        <v>2276</v>
      </c>
      <c r="T738" s="4" t="s">
        <v>2276</v>
      </c>
      <c r="U738" s="4" t="s">
        <v>2276</v>
      </c>
      <c r="V738" s="4" t="s">
        <v>2276</v>
      </c>
      <c r="W738" s="4"/>
    </row>
    <row r="739" spans="1:23" ht="57" customHeight="1">
      <c r="A739" s="4" t="s">
        <v>6425</v>
      </c>
      <c r="B739" s="4" t="s">
        <v>6617</v>
      </c>
      <c r="C739" s="4" t="s">
        <v>1105</v>
      </c>
      <c r="D739" s="4" t="s">
        <v>2276</v>
      </c>
      <c r="E739" s="4" t="s">
        <v>2649</v>
      </c>
      <c r="F739" s="4" t="s">
        <v>74</v>
      </c>
      <c r="G739" s="4"/>
      <c r="H739" s="4" t="s">
        <v>2673</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row>
    <row r="740" spans="1:23" ht="57" customHeight="1">
      <c r="A740" s="4" t="s">
        <v>6426</v>
      </c>
      <c r="B740" s="4" t="s">
        <v>6575</v>
      </c>
      <c r="C740" s="4" t="s">
        <v>1105</v>
      </c>
      <c r="D740" s="4" t="s">
        <v>2276</v>
      </c>
      <c r="E740" s="4" t="s">
        <v>2649</v>
      </c>
      <c r="F740" s="4" t="s">
        <v>74</v>
      </c>
      <c r="G740" s="4"/>
      <c r="H740" s="4" t="s">
        <v>541</v>
      </c>
      <c r="I740" s="4" t="s">
        <v>2276</v>
      </c>
      <c r="J740" s="4" t="s">
        <v>2276</v>
      </c>
      <c r="K740" s="4" t="s">
        <v>2276</v>
      </c>
      <c r="L740" s="4" t="s">
        <v>2276</v>
      </c>
      <c r="M740" s="4" t="s">
        <v>2276</v>
      </c>
      <c r="N740" s="4" t="s">
        <v>2276</v>
      </c>
      <c r="O740" s="4" t="s">
        <v>2276</v>
      </c>
      <c r="P740" s="4" t="s">
        <v>2276</v>
      </c>
      <c r="Q740" s="4" t="s">
        <v>2276</v>
      </c>
      <c r="R740" s="4" t="s">
        <v>534</v>
      </c>
      <c r="S740" s="4" t="s">
        <v>534</v>
      </c>
      <c r="T740" s="4" t="s">
        <v>2276</v>
      </c>
      <c r="U740" s="4" t="s">
        <v>2276</v>
      </c>
      <c r="V740" s="4" t="s">
        <v>2276</v>
      </c>
      <c r="W740" s="4"/>
    </row>
    <row r="741" spans="1:23" ht="57" customHeight="1">
      <c r="A741" s="4" t="s">
        <v>6427</v>
      </c>
      <c r="B741" s="4" t="s">
        <v>6578</v>
      </c>
      <c r="C741" s="4" t="s">
        <v>1105</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6428</v>
      </c>
      <c r="B742" s="4" t="s">
        <v>6579</v>
      </c>
      <c r="C742" s="4" t="s">
        <v>24</v>
      </c>
      <c r="D742" s="4" t="s">
        <v>144</v>
      </c>
      <c r="E742" s="4" t="s">
        <v>2649</v>
      </c>
      <c r="F742" s="4" t="s">
        <v>74</v>
      </c>
      <c r="G742" s="4"/>
      <c r="H742" s="4" t="s">
        <v>1093</v>
      </c>
      <c r="I742" s="4" t="s">
        <v>2691</v>
      </c>
      <c r="J742" s="4" t="s">
        <v>534</v>
      </c>
      <c r="K742" s="4" t="s">
        <v>2276</v>
      </c>
      <c r="L742" s="4" t="s">
        <v>2276</v>
      </c>
      <c r="M742" s="4" t="s">
        <v>2276</v>
      </c>
      <c r="N742" s="4" t="s">
        <v>2276</v>
      </c>
      <c r="O742" s="4" t="s">
        <v>2276</v>
      </c>
      <c r="P742" s="4" t="s">
        <v>2276</v>
      </c>
      <c r="Q742" s="4" t="s">
        <v>2276</v>
      </c>
      <c r="R742" s="4" t="s">
        <v>2276</v>
      </c>
      <c r="S742" s="4" t="s">
        <v>2276</v>
      </c>
      <c r="T742" s="4" t="s">
        <v>2276</v>
      </c>
      <c r="U742" s="4" t="s">
        <v>2276</v>
      </c>
      <c r="V742" s="4" t="s">
        <v>2276</v>
      </c>
      <c r="W742" s="4" t="s">
        <v>6633</v>
      </c>
    </row>
    <row r="743" spans="1:23" ht="57" customHeight="1">
      <c r="A743" s="4" t="s">
        <v>6428</v>
      </c>
      <c r="B743" s="4" t="s">
        <v>6580</v>
      </c>
      <c r="C743" s="4" t="s">
        <v>24</v>
      </c>
      <c r="D743" s="4" t="s">
        <v>144</v>
      </c>
      <c r="E743" s="4" t="s">
        <v>2649</v>
      </c>
      <c r="F743" s="4" t="s">
        <v>74</v>
      </c>
      <c r="G743" s="4"/>
      <c r="H743" s="4" t="s">
        <v>541</v>
      </c>
      <c r="I743" s="4" t="s">
        <v>2691</v>
      </c>
      <c r="J743" s="4"/>
      <c r="K743" s="4" t="s">
        <v>534</v>
      </c>
      <c r="L743" s="4" t="s">
        <v>2276</v>
      </c>
      <c r="M743" s="4" t="s">
        <v>2276</v>
      </c>
      <c r="N743" s="4" t="s">
        <v>2276</v>
      </c>
      <c r="O743" s="4" t="s">
        <v>2276</v>
      </c>
      <c r="P743" s="4" t="s">
        <v>2276</v>
      </c>
      <c r="Q743" s="4" t="s">
        <v>2276</v>
      </c>
      <c r="R743" s="4" t="s">
        <v>2276</v>
      </c>
      <c r="S743" s="4" t="s">
        <v>2276</v>
      </c>
      <c r="T743" s="4" t="s">
        <v>2276</v>
      </c>
      <c r="U743" s="4" t="s">
        <v>2276</v>
      </c>
      <c r="V743" s="4" t="s">
        <v>2276</v>
      </c>
      <c r="W743" s="4" t="s">
        <v>6634</v>
      </c>
    </row>
    <row r="744" spans="1:23" ht="52" customHeight="1">
      <c r="A744" s="19" t="s">
        <v>7061</v>
      </c>
      <c r="B744" s="19" t="s">
        <v>7069</v>
      </c>
      <c r="C744" s="4" t="s">
        <v>24</v>
      </c>
      <c r="D744" s="204" t="s">
        <v>25</v>
      </c>
      <c r="E744" s="204" t="s">
        <v>45</v>
      </c>
      <c r="F744" s="204" t="s">
        <v>55</v>
      </c>
      <c r="G744" s="204"/>
      <c r="H744" s="4" t="s">
        <v>2673</v>
      </c>
      <c r="I744" s="204" t="s">
        <v>2276</v>
      </c>
      <c r="J744" s="204" t="s">
        <v>2276</v>
      </c>
      <c r="K744" s="204" t="s">
        <v>2276</v>
      </c>
      <c r="L744" s="204" t="s">
        <v>2276</v>
      </c>
      <c r="M744" s="204" t="s">
        <v>2728</v>
      </c>
      <c r="N744" s="204" t="s">
        <v>534</v>
      </c>
      <c r="O744" s="204" t="s">
        <v>534</v>
      </c>
      <c r="P744" s="204" t="s">
        <v>2276</v>
      </c>
      <c r="Q744" s="204">
        <v>2</v>
      </c>
      <c r="R744" s="204" t="s">
        <v>2276</v>
      </c>
      <c r="S744" s="204" t="s">
        <v>2276</v>
      </c>
      <c r="T744" s="204" t="s">
        <v>2276</v>
      </c>
      <c r="U744" s="204" t="s">
        <v>2276</v>
      </c>
      <c r="V744" s="204" t="s">
        <v>2276</v>
      </c>
      <c r="W744" s="4" t="s">
        <v>7077</v>
      </c>
    </row>
    <row r="745" spans="1:23" ht="53.5" customHeight="1">
      <c r="A745" s="19" t="s">
        <v>7061</v>
      </c>
      <c r="B745" s="19" t="s">
        <v>7070</v>
      </c>
      <c r="C745" s="4" t="s">
        <v>24</v>
      </c>
      <c r="D745" s="204" t="s">
        <v>27</v>
      </c>
      <c r="E745" s="204" t="s">
        <v>130</v>
      </c>
      <c r="F745" s="204" t="s">
        <v>29</v>
      </c>
      <c r="G745" s="204"/>
      <c r="H745" s="4" t="s">
        <v>2673</v>
      </c>
      <c r="I745" s="204" t="s">
        <v>2276</v>
      </c>
      <c r="J745" s="204" t="s">
        <v>2276</v>
      </c>
      <c r="K745" s="204" t="s">
        <v>2276</v>
      </c>
      <c r="L745" s="204" t="s">
        <v>2276</v>
      </c>
      <c r="M745" s="204" t="s">
        <v>2728</v>
      </c>
      <c r="N745" s="204" t="s">
        <v>534</v>
      </c>
      <c r="O745" s="204" t="s">
        <v>534</v>
      </c>
      <c r="P745" s="204" t="s">
        <v>2276</v>
      </c>
      <c r="Q745" s="204">
        <v>2</v>
      </c>
      <c r="R745" s="204" t="s">
        <v>2276</v>
      </c>
      <c r="S745" s="204" t="s">
        <v>2276</v>
      </c>
      <c r="T745" s="204" t="s">
        <v>2276</v>
      </c>
      <c r="U745" s="204" t="s">
        <v>2276</v>
      </c>
      <c r="V745" s="204" t="s">
        <v>2276</v>
      </c>
      <c r="W745" s="4" t="s">
        <v>7077</v>
      </c>
    </row>
    <row r="746" spans="1:23" ht="33.5" customHeight="1">
      <c r="A746" s="19" t="s">
        <v>7081</v>
      </c>
      <c r="B746" s="19" t="s">
        <v>7085</v>
      </c>
      <c r="C746" s="4" t="s">
        <v>24</v>
      </c>
      <c r="D746" s="4" t="s">
        <v>25</v>
      </c>
      <c r="E746" s="4" t="s">
        <v>45</v>
      </c>
      <c r="F746" s="4" t="s">
        <v>2662</v>
      </c>
      <c r="G746" s="204"/>
      <c r="H746" s="4" t="s">
        <v>541</v>
      </c>
      <c r="I746" s="204" t="s">
        <v>2276</v>
      </c>
      <c r="J746" s="204" t="s">
        <v>2276</v>
      </c>
      <c r="K746" s="204" t="s">
        <v>2276</v>
      </c>
      <c r="L746" s="204" t="s">
        <v>2276</v>
      </c>
      <c r="M746" s="204" t="s">
        <v>2276</v>
      </c>
      <c r="N746" s="204" t="s">
        <v>2276</v>
      </c>
      <c r="O746" s="204" t="s">
        <v>2276</v>
      </c>
      <c r="P746" s="204" t="s">
        <v>2276</v>
      </c>
      <c r="Q746" s="204" t="s">
        <v>2276</v>
      </c>
      <c r="R746" s="11" t="s">
        <v>534</v>
      </c>
      <c r="S746" s="204" t="s">
        <v>2276</v>
      </c>
      <c r="T746" s="204" t="s">
        <v>2276</v>
      </c>
      <c r="U746" s="204" t="s">
        <v>2276</v>
      </c>
      <c r="V746" s="204">
        <v>4</v>
      </c>
      <c r="W746" s="19" t="s">
        <v>7093</v>
      </c>
    </row>
    <row r="747" spans="1:23" ht="46" customHeight="1">
      <c r="A747" s="4" t="s">
        <v>7081</v>
      </c>
      <c r="B747" s="19" t="s">
        <v>7086</v>
      </c>
      <c r="C747" s="4" t="s">
        <v>24</v>
      </c>
      <c r="D747" s="4" t="s">
        <v>1242</v>
      </c>
      <c r="E747" s="4" t="s">
        <v>3209</v>
      </c>
      <c r="F747" s="4" t="s">
        <v>2662</v>
      </c>
      <c r="G747" s="204"/>
      <c r="H747" s="4" t="s">
        <v>541</v>
      </c>
      <c r="I747" s="204" t="s">
        <v>2691</v>
      </c>
      <c r="J747" s="204" t="s">
        <v>534</v>
      </c>
      <c r="K747" s="204" t="s">
        <v>534</v>
      </c>
      <c r="L747" s="204" t="s">
        <v>2276</v>
      </c>
      <c r="M747" s="204" t="s">
        <v>2728</v>
      </c>
      <c r="N747" s="204" t="s">
        <v>2276</v>
      </c>
      <c r="O747" s="204" t="s">
        <v>2276</v>
      </c>
      <c r="P747" s="204" t="s">
        <v>2276</v>
      </c>
      <c r="Q747" s="204" t="s">
        <v>2276</v>
      </c>
      <c r="R747" s="204" t="s">
        <v>537</v>
      </c>
      <c r="S747" s="204" t="s">
        <v>537</v>
      </c>
      <c r="T747" s="204" t="s">
        <v>537</v>
      </c>
      <c r="U747" s="204" t="s">
        <v>537</v>
      </c>
      <c r="V747" s="204" t="s">
        <v>2276</v>
      </c>
      <c r="W747" s="4" t="s">
        <v>7094</v>
      </c>
    </row>
    <row r="748" spans="1:23" ht="47.5" customHeight="1">
      <c r="A748" s="4" t="s">
        <v>7081</v>
      </c>
      <c r="B748" s="19" t="s">
        <v>7087</v>
      </c>
      <c r="C748" s="4" t="s">
        <v>24</v>
      </c>
      <c r="D748" s="4" t="s">
        <v>144</v>
      </c>
      <c r="E748" s="4" t="s">
        <v>3209</v>
      </c>
      <c r="F748" s="4" t="s">
        <v>2662</v>
      </c>
      <c r="G748" s="204"/>
      <c r="H748" s="4" t="s">
        <v>541</v>
      </c>
      <c r="I748" s="204" t="s">
        <v>2691</v>
      </c>
      <c r="J748" s="204" t="s">
        <v>534</v>
      </c>
      <c r="K748" s="204" t="s">
        <v>534</v>
      </c>
      <c r="L748" s="204" t="s">
        <v>2276</v>
      </c>
      <c r="M748" s="204" t="s">
        <v>2728</v>
      </c>
      <c r="N748" s="204" t="s">
        <v>2276</v>
      </c>
      <c r="O748" s="204" t="s">
        <v>2276</v>
      </c>
      <c r="P748" s="204" t="s">
        <v>2276</v>
      </c>
      <c r="Q748" s="204" t="s">
        <v>2276</v>
      </c>
      <c r="R748" s="204" t="s">
        <v>537</v>
      </c>
      <c r="S748" s="204" t="s">
        <v>537</v>
      </c>
      <c r="T748" s="204" t="s">
        <v>537</v>
      </c>
      <c r="U748" s="204" t="s">
        <v>537</v>
      </c>
      <c r="V748" s="204" t="s">
        <v>2276</v>
      </c>
      <c r="W748" s="4" t="s">
        <v>7094</v>
      </c>
    </row>
    <row r="749" spans="1:23" ht="58">
      <c r="A749" s="19" t="s">
        <v>7141</v>
      </c>
      <c r="B749" s="19" t="s">
        <v>7216</v>
      </c>
      <c r="C749" s="204" t="s">
        <v>1105</v>
      </c>
      <c r="D749" s="204" t="s">
        <v>1105</v>
      </c>
      <c r="E749" s="204" t="s">
        <v>45</v>
      </c>
      <c r="F749" s="4" t="s">
        <v>2662</v>
      </c>
      <c r="G749" s="204"/>
      <c r="H749" s="4" t="s">
        <v>4077</v>
      </c>
      <c r="I749" s="204" t="s">
        <v>2690</v>
      </c>
      <c r="J749" s="204" t="s">
        <v>534</v>
      </c>
      <c r="K749" s="204" t="s">
        <v>2276</v>
      </c>
      <c r="L749" s="204" t="s">
        <v>2276</v>
      </c>
      <c r="M749" s="204" t="s">
        <v>2276</v>
      </c>
      <c r="N749" s="204" t="s">
        <v>2276</v>
      </c>
      <c r="O749" s="204" t="s">
        <v>2276</v>
      </c>
      <c r="P749" s="204" t="s">
        <v>2276</v>
      </c>
      <c r="Q749" s="204" t="s">
        <v>2276</v>
      </c>
      <c r="R749" s="204" t="s">
        <v>2276</v>
      </c>
      <c r="S749" s="204" t="s">
        <v>2276</v>
      </c>
      <c r="T749" s="204" t="s">
        <v>2276</v>
      </c>
      <c r="U749" s="204" t="s">
        <v>2276</v>
      </c>
      <c r="V749" s="204" t="s">
        <v>2276</v>
      </c>
      <c r="W749" s="4" t="s">
        <v>7220</v>
      </c>
    </row>
    <row r="750" spans="1:23" ht="58">
      <c r="A750" s="19" t="s">
        <v>7142</v>
      </c>
      <c r="B750" s="19" t="s">
        <v>7217</v>
      </c>
      <c r="C750" s="204" t="s">
        <v>1105</v>
      </c>
      <c r="D750" s="204" t="s">
        <v>1105</v>
      </c>
      <c r="E750" s="204" t="s">
        <v>45</v>
      </c>
      <c r="F750" s="4" t="s">
        <v>2662</v>
      </c>
      <c r="G750" s="204"/>
      <c r="H750" s="4" t="s">
        <v>4077</v>
      </c>
      <c r="I750" s="204" t="s">
        <v>2690</v>
      </c>
      <c r="J750" s="204" t="s">
        <v>534</v>
      </c>
      <c r="K750" s="204" t="s">
        <v>2276</v>
      </c>
      <c r="L750" s="204" t="s">
        <v>2276</v>
      </c>
      <c r="M750" s="204" t="s">
        <v>2276</v>
      </c>
      <c r="N750" s="204" t="s">
        <v>2276</v>
      </c>
      <c r="O750" s="204" t="s">
        <v>2276</v>
      </c>
      <c r="P750" s="204" t="s">
        <v>2276</v>
      </c>
      <c r="Q750" s="204" t="s">
        <v>2276</v>
      </c>
      <c r="R750" s="204" t="s">
        <v>2276</v>
      </c>
      <c r="S750" s="204" t="s">
        <v>2276</v>
      </c>
      <c r="T750" s="204" t="s">
        <v>2276</v>
      </c>
      <c r="U750" s="204" t="s">
        <v>2276</v>
      </c>
      <c r="V750" s="204" t="s">
        <v>2276</v>
      </c>
      <c r="W750" s="4" t="s">
        <v>7220</v>
      </c>
    </row>
    <row r="751" spans="1:23" ht="58">
      <c r="A751" s="19" t="s">
        <v>7143</v>
      </c>
      <c r="B751" s="19" t="s">
        <v>7218</v>
      </c>
      <c r="C751" s="204" t="s">
        <v>1105</v>
      </c>
      <c r="D751" s="204" t="s">
        <v>1105</v>
      </c>
      <c r="E751" s="204" t="s">
        <v>45</v>
      </c>
      <c r="F751" s="4" t="s">
        <v>2662</v>
      </c>
      <c r="G751" s="204"/>
      <c r="H751" s="4" t="s">
        <v>4077</v>
      </c>
      <c r="I751" s="204" t="s">
        <v>2690</v>
      </c>
      <c r="J751" s="204" t="s">
        <v>534</v>
      </c>
      <c r="K751" s="204" t="s">
        <v>2276</v>
      </c>
      <c r="L751" s="204" t="s">
        <v>2276</v>
      </c>
      <c r="M751" s="204" t="s">
        <v>2276</v>
      </c>
      <c r="N751" s="204" t="s">
        <v>2276</v>
      </c>
      <c r="O751" s="204" t="s">
        <v>2276</v>
      </c>
      <c r="P751" s="204" t="s">
        <v>2276</v>
      </c>
      <c r="Q751" s="204" t="s">
        <v>2276</v>
      </c>
      <c r="R751" s="204" t="s">
        <v>2276</v>
      </c>
      <c r="S751" s="204" t="s">
        <v>2276</v>
      </c>
      <c r="T751" s="204" t="s">
        <v>2276</v>
      </c>
      <c r="U751" s="204" t="s">
        <v>2276</v>
      </c>
      <c r="V751" s="204" t="s">
        <v>2276</v>
      </c>
      <c r="W751" s="4" t="s">
        <v>7220</v>
      </c>
    </row>
    <row r="752" spans="1:23" ht="58">
      <c r="A752" s="19" t="s">
        <v>7144</v>
      </c>
      <c r="B752" s="19" t="s">
        <v>7219</v>
      </c>
      <c r="C752" s="204" t="s">
        <v>1105</v>
      </c>
      <c r="D752" s="204" t="s">
        <v>1105</v>
      </c>
      <c r="E752" s="204" t="s">
        <v>45</v>
      </c>
      <c r="F752" s="4" t="s">
        <v>2662</v>
      </c>
      <c r="G752" s="204"/>
      <c r="H752" s="4" t="s">
        <v>4077</v>
      </c>
      <c r="I752" s="204" t="s">
        <v>2690</v>
      </c>
      <c r="J752" s="204" t="s">
        <v>534</v>
      </c>
      <c r="K752" s="204" t="s">
        <v>2276</v>
      </c>
      <c r="L752" s="204" t="s">
        <v>2276</v>
      </c>
      <c r="M752" s="204" t="s">
        <v>2276</v>
      </c>
      <c r="N752" s="204" t="s">
        <v>2276</v>
      </c>
      <c r="O752" s="204" t="s">
        <v>2276</v>
      </c>
      <c r="P752" s="204" t="s">
        <v>2276</v>
      </c>
      <c r="Q752" s="204" t="s">
        <v>2276</v>
      </c>
      <c r="R752" s="204" t="s">
        <v>2276</v>
      </c>
      <c r="S752" s="204" t="s">
        <v>2276</v>
      </c>
      <c r="T752" s="204" t="s">
        <v>2276</v>
      </c>
      <c r="U752" s="204" t="s">
        <v>2276</v>
      </c>
      <c r="V752" s="204" t="s">
        <v>2276</v>
      </c>
      <c r="W752" s="4" t="s">
        <v>7220</v>
      </c>
    </row>
    <row r="753" spans="1:23" ht="51" customHeight="1">
      <c r="A753" s="19" t="s">
        <v>7170</v>
      </c>
      <c r="B753" s="19" t="s">
        <v>7222</v>
      </c>
      <c r="C753" s="204" t="s">
        <v>24</v>
      </c>
      <c r="D753" s="4" t="s">
        <v>2804</v>
      </c>
      <c r="E753" s="204" t="s">
        <v>45</v>
      </c>
      <c r="F753" s="4" t="s">
        <v>2662</v>
      </c>
      <c r="G753" s="204"/>
      <c r="H753" s="4" t="s">
        <v>4077</v>
      </c>
      <c r="I753" s="204" t="s">
        <v>2691</v>
      </c>
      <c r="J753" s="204" t="s">
        <v>534</v>
      </c>
      <c r="K753" s="204" t="s">
        <v>2276</v>
      </c>
      <c r="L753" s="204" t="s">
        <v>2276</v>
      </c>
      <c r="M753" s="204" t="s">
        <v>2276</v>
      </c>
      <c r="N753" s="204" t="s">
        <v>2276</v>
      </c>
      <c r="O753" s="204" t="s">
        <v>2276</v>
      </c>
      <c r="P753" s="204" t="s">
        <v>2276</v>
      </c>
      <c r="Q753" s="204" t="s">
        <v>2276</v>
      </c>
      <c r="R753" s="204" t="s">
        <v>2276</v>
      </c>
      <c r="S753" s="204" t="s">
        <v>2276</v>
      </c>
      <c r="T753" s="204" t="s">
        <v>2276</v>
      </c>
      <c r="U753" s="204" t="s">
        <v>2276</v>
      </c>
      <c r="V753" s="204" t="s">
        <v>2276</v>
      </c>
      <c r="W753" s="4" t="s">
        <v>7228</v>
      </c>
    </row>
    <row r="754" spans="1:23" ht="53.5" customHeight="1">
      <c r="A754" s="19" t="s">
        <v>7171</v>
      </c>
      <c r="B754" s="19" t="s">
        <v>7225</v>
      </c>
      <c r="C754" s="204" t="s">
        <v>24</v>
      </c>
      <c r="D754" s="4" t="s">
        <v>2804</v>
      </c>
      <c r="E754" s="204" t="s">
        <v>45</v>
      </c>
      <c r="F754" s="4" t="s">
        <v>2662</v>
      </c>
      <c r="G754" s="204"/>
      <c r="H754" s="4" t="s">
        <v>4077</v>
      </c>
      <c r="I754" s="204" t="s">
        <v>2691</v>
      </c>
      <c r="J754" s="204" t="s">
        <v>534</v>
      </c>
      <c r="K754" s="204" t="s">
        <v>2276</v>
      </c>
      <c r="L754" s="204" t="s">
        <v>2276</v>
      </c>
      <c r="M754" s="204" t="s">
        <v>2276</v>
      </c>
      <c r="N754" s="204" t="s">
        <v>2276</v>
      </c>
      <c r="O754" s="204" t="s">
        <v>2276</v>
      </c>
      <c r="P754" s="204" t="s">
        <v>2276</v>
      </c>
      <c r="Q754" s="204" t="s">
        <v>2276</v>
      </c>
      <c r="R754" s="204" t="s">
        <v>2276</v>
      </c>
      <c r="S754" s="204" t="s">
        <v>2276</v>
      </c>
      <c r="T754" s="204" t="s">
        <v>2276</v>
      </c>
      <c r="U754" s="204" t="s">
        <v>2276</v>
      </c>
      <c r="V754" s="204" t="s">
        <v>2276</v>
      </c>
      <c r="W754" s="4" t="s">
        <v>7228</v>
      </c>
    </row>
    <row r="755" spans="1:23" ht="58" customHeight="1">
      <c r="A755" s="19" t="s">
        <v>7172</v>
      </c>
      <c r="B755" s="19" t="s">
        <v>7227</v>
      </c>
      <c r="C755" s="204" t="s">
        <v>24</v>
      </c>
      <c r="D755" s="4" t="s">
        <v>2804</v>
      </c>
      <c r="E755" s="204" t="s">
        <v>45</v>
      </c>
      <c r="F755" s="4" t="s">
        <v>2662</v>
      </c>
      <c r="G755" s="204"/>
      <c r="H755" s="4" t="s">
        <v>4077</v>
      </c>
      <c r="I755" s="204" t="s">
        <v>2691</v>
      </c>
      <c r="J755" s="204" t="s">
        <v>534</v>
      </c>
      <c r="K755" s="204" t="s">
        <v>2276</v>
      </c>
      <c r="L755" s="204" t="s">
        <v>2276</v>
      </c>
      <c r="M755" s="204" t="s">
        <v>2276</v>
      </c>
      <c r="N755" s="204" t="s">
        <v>2276</v>
      </c>
      <c r="O755" s="204" t="s">
        <v>2276</v>
      </c>
      <c r="P755" s="204" t="s">
        <v>2276</v>
      </c>
      <c r="Q755" s="204" t="s">
        <v>2276</v>
      </c>
      <c r="R755" s="204" t="s">
        <v>2276</v>
      </c>
      <c r="S755" s="204" t="s">
        <v>2276</v>
      </c>
      <c r="T755" s="204" t="s">
        <v>2276</v>
      </c>
      <c r="U755" s="204" t="s">
        <v>2276</v>
      </c>
      <c r="V755" s="204" t="s">
        <v>2276</v>
      </c>
      <c r="W755" s="4" t="s">
        <v>7228</v>
      </c>
    </row>
    <row r="756" spans="1:23" ht="29.5" customHeight="1">
      <c r="A756" s="19" t="s">
        <v>7236</v>
      </c>
      <c r="B756" s="19" t="s">
        <v>7243</v>
      </c>
      <c r="C756" s="204" t="s">
        <v>24</v>
      </c>
      <c r="D756" s="204" t="s">
        <v>1242</v>
      </c>
      <c r="E756" s="204" t="s">
        <v>2649</v>
      </c>
      <c r="F756" s="4" t="s">
        <v>2662</v>
      </c>
      <c r="G756" s="204"/>
      <c r="H756" s="4" t="s">
        <v>541</v>
      </c>
      <c r="I756" s="204" t="s">
        <v>2276</v>
      </c>
      <c r="J756" s="204" t="s">
        <v>2276</v>
      </c>
      <c r="K756" s="204" t="s">
        <v>2276</v>
      </c>
      <c r="L756" s="204" t="s">
        <v>2276</v>
      </c>
      <c r="M756" s="204" t="s">
        <v>2276</v>
      </c>
      <c r="N756" s="204" t="s">
        <v>2276</v>
      </c>
      <c r="O756" s="204" t="s">
        <v>2276</v>
      </c>
      <c r="P756" s="204" t="s">
        <v>2276</v>
      </c>
      <c r="Q756" s="204" t="s">
        <v>2276</v>
      </c>
      <c r="R756" s="204" t="s">
        <v>534</v>
      </c>
      <c r="S756" s="204" t="s">
        <v>2276</v>
      </c>
      <c r="T756" s="204" t="s">
        <v>2276</v>
      </c>
      <c r="U756" s="204" t="s">
        <v>2276</v>
      </c>
      <c r="V756" s="204">
        <v>4</v>
      </c>
      <c r="W756" s="19" t="s">
        <v>7246</v>
      </c>
    </row>
    <row r="757" spans="1:23" ht="33.5" customHeight="1">
      <c r="A757" s="19" t="s">
        <v>7236</v>
      </c>
      <c r="B757" s="19" t="s">
        <v>7244</v>
      </c>
      <c r="C757" s="204" t="s">
        <v>24</v>
      </c>
      <c r="D757" s="204" t="s">
        <v>1242</v>
      </c>
      <c r="E757" s="204" t="s">
        <v>137</v>
      </c>
      <c r="F757" s="4" t="s">
        <v>2662</v>
      </c>
      <c r="G757" s="204"/>
      <c r="H757" s="4" t="s">
        <v>541</v>
      </c>
      <c r="I757" s="204" t="s">
        <v>2276</v>
      </c>
      <c r="J757" s="204" t="s">
        <v>2276</v>
      </c>
      <c r="K757" s="204" t="s">
        <v>2276</v>
      </c>
      <c r="L757" s="204" t="s">
        <v>2276</v>
      </c>
      <c r="M757" s="204" t="s">
        <v>2276</v>
      </c>
      <c r="N757" s="204" t="s">
        <v>2276</v>
      </c>
      <c r="O757" s="204" t="s">
        <v>2276</v>
      </c>
      <c r="P757" s="204" t="s">
        <v>2276</v>
      </c>
      <c r="Q757" s="204" t="s">
        <v>2276</v>
      </c>
      <c r="R757" s="204" t="s">
        <v>534</v>
      </c>
      <c r="S757" s="204" t="s">
        <v>2276</v>
      </c>
      <c r="T757" s="204" t="s">
        <v>2276</v>
      </c>
      <c r="U757" s="204" t="s">
        <v>2276</v>
      </c>
      <c r="V757" s="204">
        <v>4</v>
      </c>
      <c r="W757" s="19" t="s">
        <v>7246</v>
      </c>
    </row>
    <row r="758" spans="1:23" ht="34" customHeight="1">
      <c r="A758" s="19" t="s">
        <v>7238</v>
      </c>
      <c r="B758" s="19" t="s">
        <v>7252</v>
      </c>
      <c r="C758" s="204" t="s">
        <v>24</v>
      </c>
      <c r="D758" s="4" t="s">
        <v>2804</v>
      </c>
      <c r="E758" s="204" t="s">
        <v>45</v>
      </c>
      <c r="F758" s="4" t="s">
        <v>2662</v>
      </c>
      <c r="G758" s="204">
        <v>1990</v>
      </c>
      <c r="H758" s="4" t="s">
        <v>541</v>
      </c>
      <c r="I758" s="204" t="s">
        <v>2276</v>
      </c>
      <c r="J758" s="204" t="s">
        <v>2276</v>
      </c>
      <c r="K758" s="204" t="s">
        <v>2276</v>
      </c>
      <c r="L758" s="204" t="s">
        <v>2276</v>
      </c>
      <c r="M758" s="204" t="s">
        <v>2671</v>
      </c>
      <c r="N758" s="204" t="s">
        <v>2276</v>
      </c>
      <c r="O758" s="204" t="s">
        <v>534</v>
      </c>
      <c r="P758" s="204" t="s">
        <v>2276</v>
      </c>
      <c r="Q758" s="204">
        <v>2</v>
      </c>
      <c r="R758" s="204" t="s">
        <v>2276</v>
      </c>
      <c r="S758" s="204" t="s">
        <v>2276</v>
      </c>
      <c r="T758" s="204" t="s">
        <v>2276</v>
      </c>
      <c r="U758" s="204" t="s">
        <v>2276</v>
      </c>
      <c r="V758" s="204" t="s">
        <v>2276</v>
      </c>
      <c r="W758" s="4" t="s">
        <v>7259</v>
      </c>
    </row>
    <row r="759" spans="1:23" ht="32" customHeight="1">
      <c r="A759" s="19" t="s">
        <v>7238</v>
      </c>
      <c r="B759" s="19" t="s">
        <v>7254</v>
      </c>
      <c r="C759" s="204" t="s">
        <v>24</v>
      </c>
      <c r="D759" s="4" t="s">
        <v>2804</v>
      </c>
      <c r="E759" s="204" t="s">
        <v>45</v>
      </c>
      <c r="F759" s="4" t="s">
        <v>2662</v>
      </c>
      <c r="G759" s="204">
        <v>2000</v>
      </c>
      <c r="H759" s="4" t="s">
        <v>541</v>
      </c>
      <c r="I759" s="204" t="s">
        <v>2276</v>
      </c>
      <c r="J759" s="204" t="s">
        <v>2276</v>
      </c>
      <c r="K759" s="204" t="s">
        <v>2276</v>
      </c>
      <c r="L759" s="204" t="s">
        <v>2276</v>
      </c>
      <c r="M759" s="204" t="s">
        <v>2671</v>
      </c>
      <c r="N759" s="204" t="s">
        <v>2276</v>
      </c>
      <c r="O759" s="204" t="s">
        <v>534</v>
      </c>
      <c r="P759" s="204" t="s">
        <v>2276</v>
      </c>
      <c r="Q759" s="204">
        <v>4</v>
      </c>
      <c r="R759" s="204" t="s">
        <v>2276</v>
      </c>
      <c r="S759" s="204" t="s">
        <v>2276</v>
      </c>
      <c r="T759" s="204" t="s">
        <v>2276</v>
      </c>
      <c r="U759" s="204" t="s">
        <v>2276</v>
      </c>
      <c r="V759" s="204" t="s">
        <v>2276</v>
      </c>
      <c r="W759" s="19" t="s">
        <v>7258</v>
      </c>
    </row>
    <row r="760" spans="1:23" ht="35.5" customHeight="1">
      <c r="A760" s="19" t="s">
        <v>7239</v>
      </c>
      <c r="B760" s="19" t="s">
        <v>7253</v>
      </c>
      <c r="C760" s="204" t="s">
        <v>24</v>
      </c>
      <c r="D760" s="4" t="s">
        <v>2804</v>
      </c>
      <c r="E760" s="204" t="s">
        <v>45</v>
      </c>
      <c r="F760" s="4" t="s">
        <v>2662</v>
      </c>
      <c r="G760" s="204"/>
      <c r="H760" s="4" t="s">
        <v>541</v>
      </c>
      <c r="I760" s="204" t="s">
        <v>2276</v>
      </c>
      <c r="J760" s="204" t="s">
        <v>2276</v>
      </c>
      <c r="K760" s="204" t="s">
        <v>2276</v>
      </c>
      <c r="L760" s="204" t="s">
        <v>2276</v>
      </c>
      <c r="M760" s="204" t="s">
        <v>2276</v>
      </c>
      <c r="N760" s="204" t="s">
        <v>2276</v>
      </c>
      <c r="O760" s="204" t="s">
        <v>2276</v>
      </c>
      <c r="P760" s="204" t="s">
        <v>2276</v>
      </c>
      <c r="Q760" s="204" t="s">
        <v>2276</v>
      </c>
      <c r="R760" s="204" t="s">
        <v>534</v>
      </c>
      <c r="S760" s="204" t="s">
        <v>2276</v>
      </c>
      <c r="T760" s="204" t="s">
        <v>2276</v>
      </c>
      <c r="U760" s="204" t="s">
        <v>2276</v>
      </c>
      <c r="V760" s="204">
        <v>2</v>
      </c>
      <c r="W760" s="19" t="s">
        <v>7262</v>
      </c>
    </row>
    <row r="761" spans="1:23" ht="35.5" customHeight="1">
      <c r="A761" s="19" t="s">
        <v>7239</v>
      </c>
      <c r="B761" s="19" t="s">
        <v>7260</v>
      </c>
      <c r="C761" s="204" t="s">
        <v>24</v>
      </c>
      <c r="D761" s="4" t="s">
        <v>2804</v>
      </c>
      <c r="E761" s="204" t="s">
        <v>45</v>
      </c>
      <c r="F761" s="4" t="s">
        <v>2662</v>
      </c>
      <c r="G761" s="204"/>
      <c r="H761" s="4" t="s">
        <v>541</v>
      </c>
      <c r="I761" s="204" t="s">
        <v>2276</v>
      </c>
      <c r="J761" s="204" t="s">
        <v>2276</v>
      </c>
      <c r="K761" s="204" t="s">
        <v>2276</v>
      </c>
      <c r="L761" s="204" t="s">
        <v>2276</v>
      </c>
      <c r="M761" s="204" t="s">
        <v>2669</v>
      </c>
      <c r="N761" s="204" t="s">
        <v>2276</v>
      </c>
      <c r="O761" s="204" t="s">
        <v>2276</v>
      </c>
      <c r="P761" s="204" t="s">
        <v>2276</v>
      </c>
      <c r="Q761" s="204">
        <v>4</v>
      </c>
      <c r="R761" s="204" t="s">
        <v>2276</v>
      </c>
      <c r="S761" s="204" t="s">
        <v>2276</v>
      </c>
      <c r="T761" s="204" t="s">
        <v>2276</v>
      </c>
      <c r="U761" s="204" t="s">
        <v>2276</v>
      </c>
      <c r="V761" s="204" t="s">
        <v>2276</v>
      </c>
      <c r="W761" s="19" t="s">
        <v>7263</v>
      </c>
    </row>
    <row r="762" spans="1:23" ht="46.5" customHeight="1">
      <c r="A762" s="19" t="s">
        <v>7595</v>
      </c>
      <c r="B762" s="19" t="s">
        <v>7596</v>
      </c>
      <c r="C762" s="4" t="s">
        <v>24</v>
      </c>
      <c r="D762" s="4" t="s">
        <v>1242</v>
      </c>
      <c r="E762" s="4" t="s">
        <v>3209</v>
      </c>
      <c r="F762" s="4" t="s">
        <v>2662</v>
      </c>
      <c r="G762" s="204"/>
      <c r="H762" s="4" t="s">
        <v>2673</v>
      </c>
      <c r="I762" s="204" t="s">
        <v>2276</v>
      </c>
      <c r="J762" s="204" t="s">
        <v>2276</v>
      </c>
      <c r="K762" s="204" t="s">
        <v>2276</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7640</v>
      </c>
    </row>
    <row r="763" spans="1:23" ht="46.5" customHeight="1">
      <c r="A763" s="19" t="s">
        <v>7617</v>
      </c>
      <c r="B763" s="19" t="s">
        <v>7618</v>
      </c>
      <c r="C763" s="4" t="s">
        <v>24</v>
      </c>
      <c r="D763" s="4" t="s">
        <v>1242</v>
      </c>
      <c r="E763" s="4" t="s">
        <v>3209</v>
      </c>
      <c r="F763" s="4" t="s">
        <v>2662</v>
      </c>
      <c r="G763" s="204"/>
      <c r="H763" s="4" t="s">
        <v>2673</v>
      </c>
      <c r="I763" s="204" t="s">
        <v>2276</v>
      </c>
      <c r="J763" s="204" t="s">
        <v>2276</v>
      </c>
      <c r="K763" s="204" t="s">
        <v>2276</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7639</v>
      </c>
    </row>
    <row r="764" spans="1:23" ht="46.5" customHeight="1">
      <c r="A764" s="19" t="s">
        <v>7620</v>
      </c>
      <c r="B764" s="19" t="s">
        <v>7622</v>
      </c>
      <c r="C764" s="4" t="s">
        <v>24</v>
      </c>
      <c r="D764" s="4" t="s">
        <v>1242</v>
      </c>
      <c r="E764" s="4" t="s">
        <v>3209</v>
      </c>
      <c r="F764" s="4" t="s">
        <v>2662</v>
      </c>
      <c r="G764" s="204">
        <v>1994</v>
      </c>
      <c r="H764" s="4" t="s">
        <v>541</v>
      </c>
      <c r="I764" s="204" t="s">
        <v>2276</v>
      </c>
      <c r="J764" s="204" t="s">
        <v>2276</v>
      </c>
      <c r="K764" s="204" t="s">
        <v>2276</v>
      </c>
      <c r="L764" s="204" t="s">
        <v>2276</v>
      </c>
      <c r="M764" s="204" t="s">
        <v>2728</v>
      </c>
      <c r="N764" s="204" t="s">
        <v>2276</v>
      </c>
      <c r="O764" s="204" t="s">
        <v>2276</v>
      </c>
      <c r="P764" s="204" t="s">
        <v>2276</v>
      </c>
      <c r="Q764" s="204" t="s">
        <v>2276</v>
      </c>
      <c r="R764" s="204" t="s">
        <v>537</v>
      </c>
      <c r="S764" s="204" t="s">
        <v>537</v>
      </c>
      <c r="T764" s="204" t="s">
        <v>537</v>
      </c>
      <c r="U764" s="204" t="s">
        <v>537</v>
      </c>
      <c r="V764" s="204" t="s">
        <v>2276</v>
      </c>
      <c r="W764" s="4" t="s">
        <v>7641</v>
      </c>
    </row>
    <row r="765" spans="1:23" s="203" customFormat="1" ht="46.5" customHeight="1">
      <c r="A765" s="19" t="s">
        <v>7620</v>
      </c>
      <c r="B765" s="19" t="s">
        <v>7626</v>
      </c>
      <c r="C765" s="4" t="s">
        <v>24</v>
      </c>
      <c r="D765" s="4" t="s">
        <v>1242</v>
      </c>
      <c r="E765" s="4" t="s">
        <v>3209</v>
      </c>
      <c r="F765" s="4" t="s">
        <v>2662</v>
      </c>
      <c r="G765" s="204">
        <v>2005</v>
      </c>
      <c r="H765" s="4" t="s">
        <v>541</v>
      </c>
      <c r="I765" s="204" t="s">
        <v>2691</v>
      </c>
      <c r="J765" s="204" t="s">
        <v>534</v>
      </c>
      <c r="K765" s="204" t="s">
        <v>534</v>
      </c>
      <c r="L765" s="204" t="s">
        <v>534</v>
      </c>
      <c r="M765" s="204" t="s">
        <v>2728</v>
      </c>
      <c r="N765" s="204" t="s">
        <v>2276</v>
      </c>
      <c r="O765" s="204" t="s">
        <v>2276</v>
      </c>
      <c r="P765" s="204" t="s">
        <v>2276</v>
      </c>
      <c r="Q765" s="204" t="s">
        <v>2276</v>
      </c>
      <c r="R765" s="204" t="s">
        <v>537</v>
      </c>
      <c r="S765" s="204" t="s">
        <v>537</v>
      </c>
      <c r="T765" s="204" t="s">
        <v>537</v>
      </c>
      <c r="U765" s="204" t="s">
        <v>537</v>
      </c>
      <c r="V765" s="204" t="s">
        <v>2276</v>
      </c>
      <c r="W765" s="4" t="s">
        <v>7638</v>
      </c>
    </row>
    <row r="766" spans="1:23" ht="46.5" customHeight="1">
      <c r="A766" s="19" t="s">
        <v>7621</v>
      </c>
      <c r="B766" s="19" t="s">
        <v>7623</v>
      </c>
      <c r="C766" s="4" t="s">
        <v>24</v>
      </c>
      <c r="D766" s="4" t="s">
        <v>1242</v>
      </c>
      <c r="E766" s="4" t="s">
        <v>3209</v>
      </c>
      <c r="F766" s="4" t="s">
        <v>2662</v>
      </c>
      <c r="G766" s="204"/>
      <c r="H766" s="4" t="s">
        <v>541</v>
      </c>
      <c r="I766" s="204" t="s">
        <v>2276</v>
      </c>
      <c r="J766" s="204" t="s">
        <v>2276</v>
      </c>
      <c r="K766" s="204" t="s">
        <v>2276</v>
      </c>
      <c r="L766" s="204" t="s">
        <v>2276</v>
      </c>
      <c r="M766" s="204" t="s">
        <v>2728</v>
      </c>
      <c r="N766" s="204" t="s">
        <v>2276</v>
      </c>
      <c r="O766" s="204" t="s">
        <v>2276</v>
      </c>
      <c r="P766" s="204" t="s">
        <v>2276</v>
      </c>
      <c r="Q766" s="204" t="s">
        <v>2276</v>
      </c>
      <c r="R766" s="204" t="s">
        <v>537</v>
      </c>
      <c r="S766" s="204" t="s">
        <v>537</v>
      </c>
      <c r="T766" s="204" t="s">
        <v>537</v>
      </c>
      <c r="U766" s="204" t="s">
        <v>537</v>
      </c>
      <c r="V766" s="204" t="s">
        <v>2276</v>
      </c>
      <c r="W766" s="4" t="s">
        <v>7641</v>
      </c>
    </row>
    <row r="767" spans="1:23" ht="37" customHeight="1">
      <c r="A767" s="19" t="s">
        <v>7595</v>
      </c>
      <c r="B767" s="19" t="s">
        <v>7597</v>
      </c>
      <c r="C767" s="4" t="s">
        <v>24</v>
      </c>
      <c r="D767" s="4" t="s">
        <v>1242</v>
      </c>
      <c r="E767" s="4" t="s">
        <v>3209</v>
      </c>
      <c r="F767" s="4" t="s">
        <v>74</v>
      </c>
      <c r="G767" s="204"/>
      <c r="H767" s="4" t="s">
        <v>2673</v>
      </c>
      <c r="I767" s="204" t="s">
        <v>2276</v>
      </c>
      <c r="J767" s="204" t="s">
        <v>2276</v>
      </c>
      <c r="K767" s="204" t="s">
        <v>2276</v>
      </c>
      <c r="L767" s="204" t="s">
        <v>2276</v>
      </c>
      <c r="M767" s="204" t="s">
        <v>2728</v>
      </c>
      <c r="N767" s="204" t="s">
        <v>2276</v>
      </c>
      <c r="O767" s="204" t="s">
        <v>2276</v>
      </c>
      <c r="P767" s="204" t="s">
        <v>2276</v>
      </c>
      <c r="Q767" s="204" t="s">
        <v>2276</v>
      </c>
      <c r="R767" s="204" t="s">
        <v>537</v>
      </c>
      <c r="S767" s="204" t="s">
        <v>537</v>
      </c>
      <c r="T767" s="204" t="s">
        <v>537</v>
      </c>
      <c r="U767" s="204" t="s">
        <v>537</v>
      </c>
      <c r="V767" s="204" t="s">
        <v>2276</v>
      </c>
      <c r="W767" s="4" t="s">
        <v>7640</v>
      </c>
    </row>
    <row r="768" spans="1:23" ht="37" customHeight="1">
      <c r="A768" s="19" t="s">
        <v>7617</v>
      </c>
      <c r="B768" s="19" t="s">
        <v>7631</v>
      </c>
      <c r="C768" s="4" t="s">
        <v>24</v>
      </c>
      <c r="D768" s="4" t="s">
        <v>1242</v>
      </c>
      <c r="E768" s="4" t="s">
        <v>3209</v>
      </c>
      <c r="F768" s="4" t="s">
        <v>74</v>
      </c>
      <c r="G768" s="204"/>
      <c r="H768" s="4" t="s">
        <v>2673</v>
      </c>
      <c r="I768" s="204" t="s">
        <v>2276</v>
      </c>
      <c r="J768" s="204" t="s">
        <v>2276</v>
      </c>
      <c r="K768" s="204" t="s">
        <v>2276</v>
      </c>
      <c r="L768" s="204" t="s">
        <v>2276</v>
      </c>
      <c r="M768" s="204" t="s">
        <v>2728</v>
      </c>
      <c r="N768" s="204" t="s">
        <v>2276</v>
      </c>
      <c r="O768" s="204" t="s">
        <v>2276</v>
      </c>
      <c r="P768" s="204" t="s">
        <v>2276</v>
      </c>
      <c r="Q768" s="204" t="s">
        <v>2276</v>
      </c>
      <c r="R768" s="204" t="s">
        <v>537</v>
      </c>
      <c r="S768" s="204" t="s">
        <v>537</v>
      </c>
      <c r="T768" s="204" t="s">
        <v>537</v>
      </c>
      <c r="U768" s="204" t="s">
        <v>537</v>
      </c>
      <c r="V768" s="204" t="s">
        <v>2276</v>
      </c>
      <c r="W768" s="4" t="s">
        <v>7639</v>
      </c>
    </row>
    <row r="769" spans="1:23" ht="37" customHeight="1">
      <c r="A769" s="19" t="s">
        <v>7620</v>
      </c>
      <c r="B769" s="19" t="s">
        <v>7636</v>
      </c>
      <c r="C769" s="4" t="s">
        <v>24</v>
      </c>
      <c r="D769" s="4" t="s">
        <v>1242</v>
      </c>
      <c r="E769" s="4" t="s">
        <v>3209</v>
      </c>
      <c r="F769" s="4" t="s">
        <v>74</v>
      </c>
      <c r="G769" s="204">
        <v>1994</v>
      </c>
      <c r="H769" s="4" t="s">
        <v>541</v>
      </c>
      <c r="I769" s="204" t="s">
        <v>2276</v>
      </c>
      <c r="J769" s="204" t="s">
        <v>2276</v>
      </c>
      <c r="K769" s="204" t="s">
        <v>2276</v>
      </c>
      <c r="L769" s="204" t="s">
        <v>2276</v>
      </c>
      <c r="M769" s="204" t="s">
        <v>2728</v>
      </c>
      <c r="N769" s="204" t="s">
        <v>2276</v>
      </c>
      <c r="O769" s="204" t="s">
        <v>2276</v>
      </c>
      <c r="P769" s="204" t="s">
        <v>2276</v>
      </c>
      <c r="Q769" s="204" t="s">
        <v>2276</v>
      </c>
      <c r="R769" s="204" t="s">
        <v>537</v>
      </c>
      <c r="S769" s="204" t="s">
        <v>537</v>
      </c>
      <c r="T769" s="204" t="s">
        <v>537</v>
      </c>
      <c r="U769" s="204" t="s">
        <v>537</v>
      </c>
      <c r="V769" s="204" t="s">
        <v>2276</v>
      </c>
      <c r="W769" s="4" t="s">
        <v>7641</v>
      </c>
    </row>
    <row r="770" spans="1:23" s="203" customFormat="1" ht="37" customHeight="1">
      <c r="A770" s="19" t="s">
        <v>7620</v>
      </c>
      <c r="B770" s="19" t="s">
        <v>7637</v>
      </c>
      <c r="C770" s="4" t="s">
        <v>24</v>
      </c>
      <c r="D770" s="4" t="s">
        <v>1242</v>
      </c>
      <c r="E770" s="4" t="s">
        <v>3209</v>
      </c>
      <c r="F770" s="4" t="s">
        <v>74</v>
      </c>
      <c r="G770" s="204">
        <v>2005</v>
      </c>
      <c r="H770" s="4" t="s">
        <v>541</v>
      </c>
      <c r="I770" s="204" t="s">
        <v>2691</v>
      </c>
      <c r="J770" s="204" t="s">
        <v>534</v>
      </c>
      <c r="K770" s="204" t="s">
        <v>534</v>
      </c>
      <c r="L770" s="204" t="s">
        <v>534</v>
      </c>
      <c r="M770" s="204" t="s">
        <v>2728</v>
      </c>
      <c r="N770" s="204" t="s">
        <v>2276</v>
      </c>
      <c r="O770" s="204" t="s">
        <v>2276</v>
      </c>
      <c r="P770" s="204" t="s">
        <v>2276</v>
      </c>
      <c r="Q770" s="204" t="s">
        <v>2276</v>
      </c>
      <c r="R770" s="204" t="s">
        <v>537</v>
      </c>
      <c r="S770" s="204" t="s">
        <v>537</v>
      </c>
      <c r="T770" s="204" t="s">
        <v>537</v>
      </c>
      <c r="U770" s="204" t="s">
        <v>537</v>
      </c>
      <c r="V770" s="204" t="s">
        <v>2276</v>
      </c>
      <c r="W770" s="4" t="s">
        <v>7638</v>
      </c>
    </row>
    <row r="771" spans="1:23" ht="37" customHeight="1">
      <c r="A771" s="19" t="s">
        <v>7621</v>
      </c>
      <c r="B771" s="19" t="s">
        <v>7624</v>
      </c>
      <c r="C771" s="4" t="s">
        <v>24</v>
      </c>
      <c r="D771" s="4" t="s">
        <v>1242</v>
      </c>
      <c r="E771" s="4" t="s">
        <v>3209</v>
      </c>
      <c r="F771" s="4" t="s">
        <v>74</v>
      </c>
      <c r="G771" s="204"/>
      <c r="H771" s="4" t="s">
        <v>541</v>
      </c>
      <c r="I771" s="204" t="s">
        <v>2276</v>
      </c>
      <c r="J771" s="204" t="s">
        <v>2276</v>
      </c>
      <c r="K771" s="204" t="s">
        <v>2276</v>
      </c>
      <c r="L771" s="204" t="s">
        <v>2276</v>
      </c>
      <c r="M771" s="204" t="s">
        <v>2728</v>
      </c>
      <c r="N771" s="204" t="s">
        <v>2276</v>
      </c>
      <c r="O771" s="204" t="s">
        <v>2276</v>
      </c>
      <c r="P771" s="204" t="s">
        <v>2276</v>
      </c>
      <c r="Q771" s="204" t="s">
        <v>2276</v>
      </c>
      <c r="R771" s="204" t="s">
        <v>537</v>
      </c>
      <c r="S771" s="204" t="s">
        <v>537</v>
      </c>
      <c r="T771" s="204" t="s">
        <v>537</v>
      </c>
      <c r="U771" s="204" t="s">
        <v>537</v>
      </c>
      <c r="V771" s="204" t="s">
        <v>2276</v>
      </c>
      <c r="W771" s="4" t="s">
        <v>7641</v>
      </c>
    </row>
    <row r="772" spans="1:23" ht="30.5" customHeight="1">
      <c r="A772" s="19" t="s">
        <v>7595</v>
      </c>
      <c r="B772" s="19" t="s">
        <v>7598</v>
      </c>
      <c r="C772" s="4" t="s">
        <v>24</v>
      </c>
      <c r="D772" s="4" t="s">
        <v>61</v>
      </c>
      <c r="E772" s="204" t="s">
        <v>2276</v>
      </c>
      <c r="F772" s="4" t="s">
        <v>74</v>
      </c>
      <c r="G772" s="204"/>
      <c r="H772" s="4" t="s">
        <v>2673</v>
      </c>
      <c r="I772" s="204" t="s">
        <v>2276</v>
      </c>
      <c r="J772" s="204" t="s">
        <v>2276</v>
      </c>
      <c r="K772" s="204" t="s">
        <v>2276</v>
      </c>
      <c r="L772" s="204" t="s">
        <v>2276</v>
      </c>
      <c r="M772" s="204" t="s">
        <v>2728</v>
      </c>
      <c r="N772" s="204" t="s">
        <v>2276</v>
      </c>
      <c r="O772" s="204" t="s">
        <v>2276</v>
      </c>
      <c r="P772" s="204" t="s">
        <v>2276</v>
      </c>
      <c r="Q772" s="204" t="s">
        <v>2276</v>
      </c>
      <c r="R772" s="204" t="s">
        <v>537</v>
      </c>
      <c r="S772" s="204" t="s">
        <v>537</v>
      </c>
      <c r="T772" s="204" t="s">
        <v>537</v>
      </c>
      <c r="U772" s="204" t="s">
        <v>537</v>
      </c>
      <c r="V772" s="204" t="s">
        <v>2276</v>
      </c>
      <c r="W772" s="4" t="s">
        <v>7642</v>
      </c>
    </row>
    <row r="773" spans="1:23" ht="38.5" customHeight="1">
      <c r="A773" s="19" t="s">
        <v>7595</v>
      </c>
      <c r="B773" s="19" t="s">
        <v>7599</v>
      </c>
      <c r="C773" s="4" t="s">
        <v>24</v>
      </c>
      <c r="D773" s="4" t="s">
        <v>2804</v>
      </c>
      <c r="E773" s="204" t="s">
        <v>2276</v>
      </c>
      <c r="F773" s="4" t="s">
        <v>2662</v>
      </c>
      <c r="G773" s="204"/>
      <c r="H773" s="4" t="s">
        <v>2673</v>
      </c>
      <c r="I773" s="204" t="s">
        <v>2276</v>
      </c>
      <c r="J773" s="204" t="s">
        <v>2276</v>
      </c>
      <c r="K773" s="204" t="s">
        <v>2276</v>
      </c>
      <c r="L773" s="204" t="s">
        <v>2276</v>
      </c>
      <c r="M773" s="204" t="s">
        <v>2728</v>
      </c>
      <c r="N773" s="204" t="s">
        <v>2276</v>
      </c>
      <c r="O773" s="204" t="s">
        <v>2276</v>
      </c>
      <c r="P773" s="204" t="s">
        <v>2276</v>
      </c>
      <c r="Q773" s="204" t="s">
        <v>2276</v>
      </c>
      <c r="R773" s="204" t="s">
        <v>537</v>
      </c>
      <c r="S773" s="204" t="s">
        <v>537</v>
      </c>
      <c r="T773" s="204" t="s">
        <v>537</v>
      </c>
      <c r="U773" s="204" t="s">
        <v>537</v>
      </c>
      <c r="V773" s="204" t="s">
        <v>2276</v>
      </c>
      <c r="W773" s="4" t="s">
        <v>7642</v>
      </c>
    </row>
    <row r="774" spans="1:23" ht="30.5" customHeight="1">
      <c r="A774" s="19" t="s">
        <v>7595</v>
      </c>
      <c r="B774" s="19" t="s">
        <v>7600</v>
      </c>
      <c r="C774" s="4" t="s">
        <v>24</v>
      </c>
      <c r="D774" s="4" t="s">
        <v>2659</v>
      </c>
      <c r="E774" s="204" t="s">
        <v>2276</v>
      </c>
      <c r="F774" s="4" t="s">
        <v>28</v>
      </c>
      <c r="G774" s="204"/>
      <c r="H774" s="4" t="s">
        <v>2673</v>
      </c>
      <c r="I774" s="204" t="s">
        <v>2276</v>
      </c>
      <c r="J774" s="204" t="s">
        <v>2276</v>
      </c>
      <c r="K774" s="204" t="s">
        <v>2276</v>
      </c>
      <c r="L774" s="204" t="s">
        <v>2276</v>
      </c>
      <c r="M774" s="204" t="s">
        <v>2728</v>
      </c>
      <c r="N774" s="204" t="s">
        <v>2276</v>
      </c>
      <c r="O774" s="204" t="s">
        <v>2276</v>
      </c>
      <c r="P774" s="204" t="s">
        <v>2276</v>
      </c>
      <c r="Q774" s="204" t="s">
        <v>2276</v>
      </c>
      <c r="R774" s="204" t="s">
        <v>537</v>
      </c>
      <c r="S774" s="204" t="s">
        <v>537</v>
      </c>
      <c r="T774" s="204" t="s">
        <v>537</v>
      </c>
      <c r="U774" s="204" t="s">
        <v>537</v>
      </c>
      <c r="V774" s="204" t="s">
        <v>2276</v>
      </c>
      <c r="W774" s="4" t="s">
        <v>7642</v>
      </c>
    </row>
    <row r="775" spans="1:23" ht="30" customHeight="1">
      <c r="A775" s="19" t="s">
        <v>7896</v>
      </c>
      <c r="B775" s="19" t="s">
        <v>7899</v>
      </c>
      <c r="C775" s="4" t="s">
        <v>24</v>
      </c>
      <c r="D775" s="204" t="s">
        <v>1105</v>
      </c>
      <c r="E775" s="204" t="s">
        <v>1105</v>
      </c>
      <c r="F775" s="4" t="s">
        <v>2662</v>
      </c>
      <c r="G775" s="204"/>
      <c r="H775" s="4" t="s">
        <v>541</v>
      </c>
      <c r="I775" s="204" t="s">
        <v>2276</v>
      </c>
      <c r="J775" s="204" t="s">
        <v>2276</v>
      </c>
      <c r="K775" s="204" t="s">
        <v>2276</v>
      </c>
      <c r="L775" s="204" t="s">
        <v>2276</v>
      </c>
      <c r="M775" s="204" t="s">
        <v>2276</v>
      </c>
      <c r="N775" s="204" t="s">
        <v>2276</v>
      </c>
      <c r="O775" s="204" t="s">
        <v>2276</v>
      </c>
      <c r="P775" s="204" t="s">
        <v>2276</v>
      </c>
      <c r="Q775" s="204" t="s">
        <v>2276</v>
      </c>
      <c r="R775" s="204" t="s">
        <v>534</v>
      </c>
      <c r="S775" s="204" t="s">
        <v>2276</v>
      </c>
      <c r="T775" s="204" t="s">
        <v>2276</v>
      </c>
      <c r="U775" s="204" t="s">
        <v>2276</v>
      </c>
      <c r="V775" s="204" t="s">
        <v>2276</v>
      </c>
      <c r="W775" s="204" t="s">
        <v>7906</v>
      </c>
    </row>
    <row r="776" spans="1:23" ht="30" customHeight="1">
      <c r="A776" s="19" t="s">
        <v>7902</v>
      </c>
      <c r="B776" s="19" t="s">
        <v>7904</v>
      </c>
      <c r="C776" s="4" t="s">
        <v>24</v>
      </c>
      <c r="D776" s="204" t="s">
        <v>1105</v>
      </c>
      <c r="E776" s="204" t="s">
        <v>1105</v>
      </c>
      <c r="F776" s="4" t="s">
        <v>2662</v>
      </c>
      <c r="G776" s="204"/>
      <c r="H776" s="4" t="s">
        <v>541</v>
      </c>
      <c r="I776" s="204" t="s">
        <v>2276</v>
      </c>
      <c r="J776" s="204" t="s">
        <v>2276</v>
      </c>
      <c r="K776" s="204" t="s">
        <v>2276</v>
      </c>
      <c r="L776" s="204" t="s">
        <v>2276</v>
      </c>
      <c r="M776" s="204" t="s">
        <v>2276</v>
      </c>
      <c r="N776" s="204" t="s">
        <v>2276</v>
      </c>
      <c r="O776" s="204" t="s">
        <v>2276</v>
      </c>
      <c r="P776" s="204" t="s">
        <v>2276</v>
      </c>
      <c r="Q776" s="204" t="s">
        <v>2276</v>
      </c>
      <c r="R776" s="204" t="s">
        <v>534</v>
      </c>
      <c r="S776" s="204" t="s">
        <v>2276</v>
      </c>
      <c r="T776" s="204" t="s">
        <v>2276</v>
      </c>
      <c r="U776" s="204" t="s">
        <v>2276</v>
      </c>
      <c r="V776" s="204" t="s">
        <v>2276</v>
      </c>
      <c r="W776" s="204" t="s">
        <v>7906</v>
      </c>
    </row>
    <row r="777" spans="1:23" ht="50" customHeight="1">
      <c r="A777" s="204" t="s">
        <v>7931</v>
      </c>
      <c r="B777" s="19" t="s">
        <v>7935</v>
      </c>
      <c r="C777" s="4" t="s">
        <v>24</v>
      </c>
      <c r="D777" s="204" t="s">
        <v>1105</v>
      </c>
      <c r="E777" s="204" t="s">
        <v>1105</v>
      </c>
      <c r="F777" s="4" t="s">
        <v>2662</v>
      </c>
      <c r="G777" s="204"/>
      <c r="H777" s="4" t="s">
        <v>541</v>
      </c>
      <c r="I777" s="204" t="s">
        <v>2276</v>
      </c>
      <c r="J777" s="204" t="s">
        <v>2276</v>
      </c>
      <c r="K777" s="204" t="s">
        <v>2276</v>
      </c>
      <c r="L777" s="204" t="s">
        <v>2276</v>
      </c>
      <c r="M777" s="204" t="s">
        <v>2276</v>
      </c>
      <c r="N777" s="204" t="s">
        <v>2276</v>
      </c>
      <c r="O777" s="204" t="s">
        <v>2276</v>
      </c>
      <c r="P777" s="204" t="s">
        <v>2276</v>
      </c>
      <c r="Q777" s="204" t="s">
        <v>2276</v>
      </c>
      <c r="R777" s="204" t="s">
        <v>534</v>
      </c>
      <c r="S777" s="204" t="s">
        <v>2276</v>
      </c>
      <c r="T777" s="204" t="s">
        <v>2276</v>
      </c>
      <c r="U777" s="204" t="s">
        <v>2276</v>
      </c>
      <c r="V777" s="204">
        <v>2</v>
      </c>
      <c r="W777" s="4" t="s">
        <v>7939</v>
      </c>
    </row>
    <row r="778" spans="1:23" ht="36" customHeight="1">
      <c r="A778" s="19" t="s">
        <v>7976</v>
      </c>
      <c r="B778" s="19" t="s">
        <v>7983</v>
      </c>
      <c r="C778" s="204" t="s">
        <v>24</v>
      </c>
      <c r="D778" s="204" t="s">
        <v>2659</v>
      </c>
      <c r="E778" s="204" t="s">
        <v>84</v>
      </c>
      <c r="F778" s="204" t="s">
        <v>28</v>
      </c>
      <c r="G778" s="204"/>
      <c r="H778" s="4" t="s">
        <v>541</v>
      </c>
      <c r="I778" s="204" t="s">
        <v>2276</v>
      </c>
      <c r="J778" s="204" t="s">
        <v>2276</v>
      </c>
      <c r="K778" s="204" t="s">
        <v>2276</v>
      </c>
      <c r="L778" s="204" t="s">
        <v>2276</v>
      </c>
      <c r="M778" s="204" t="s">
        <v>2276</v>
      </c>
      <c r="N778" s="204" t="s">
        <v>2276</v>
      </c>
      <c r="O778" s="204" t="s">
        <v>2276</v>
      </c>
      <c r="P778" s="204" t="s">
        <v>2276</v>
      </c>
      <c r="Q778" s="204" t="s">
        <v>2276</v>
      </c>
      <c r="R778" s="204" t="s">
        <v>534</v>
      </c>
      <c r="S778" s="204" t="s">
        <v>2276</v>
      </c>
      <c r="T778" s="204" t="s">
        <v>2276</v>
      </c>
      <c r="U778" s="204" t="s">
        <v>534</v>
      </c>
      <c r="V778" s="204">
        <v>1</v>
      </c>
      <c r="W778" s="4" t="s">
        <v>7988</v>
      </c>
    </row>
    <row r="779" spans="1:23" ht="36" customHeight="1">
      <c r="A779" s="19" t="s">
        <v>7977</v>
      </c>
      <c r="B779" s="19" t="s">
        <v>7980</v>
      </c>
      <c r="C779" s="204" t="s">
        <v>24</v>
      </c>
      <c r="D779" s="204" t="s">
        <v>2659</v>
      </c>
      <c r="E779" s="204" t="s">
        <v>84</v>
      </c>
      <c r="F779" s="204" t="s">
        <v>28</v>
      </c>
      <c r="G779" s="204"/>
      <c r="H779" s="4" t="s">
        <v>541</v>
      </c>
      <c r="I779" s="204" t="s">
        <v>2276</v>
      </c>
      <c r="J779" s="204" t="s">
        <v>2276</v>
      </c>
      <c r="K779" s="204" t="s">
        <v>2276</v>
      </c>
      <c r="L779" s="204" t="s">
        <v>2276</v>
      </c>
      <c r="M779" s="204" t="s">
        <v>2276</v>
      </c>
      <c r="N779" s="204" t="s">
        <v>2276</v>
      </c>
      <c r="O779" s="204" t="s">
        <v>2276</v>
      </c>
      <c r="P779" s="204" t="s">
        <v>2276</v>
      </c>
      <c r="Q779" s="204" t="s">
        <v>2276</v>
      </c>
      <c r="R779" s="204" t="s">
        <v>534</v>
      </c>
      <c r="S779" s="204" t="s">
        <v>2276</v>
      </c>
      <c r="T779" s="204" t="s">
        <v>2276</v>
      </c>
      <c r="U779" s="204" t="s">
        <v>534</v>
      </c>
      <c r="V779" s="204">
        <v>2</v>
      </c>
      <c r="W779" s="204" t="s">
        <v>7989</v>
      </c>
    </row>
    <row r="780" spans="1:23" ht="51" customHeight="1">
      <c r="A780" s="19" t="s">
        <v>8000</v>
      </c>
      <c r="B780" s="19" t="s">
        <v>8008</v>
      </c>
      <c r="C780" s="204" t="s">
        <v>24</v>
      </c>
      <c r="D780" s="204" t="s">
        <v>144</v>
      </c>
      <c r="E780" s="204" t="s">
        <v>137</v>
      </c>
      <c r="F780" s="4" t="s">
        <v>2662</v>
      </c>
      <c r="G780" s="204"/>
      <c r="H780" s="4" t="s">
        <v>2673</v>
      </c>
      <c r="I780" s="204" t="s">
        <v>2276</v>
      </c>
      <c r="J780" s="204" t="s">
        <v>2276</v>
      </c>
      <c r="K780" s="204" t="s">
        <v>2276</v>
      </c>
      <c r="L780" s="204" t="s">
        <v>2276</v>
      </c>
      <c r="M780" s="204" t="s">
        <v>2728</v>
      </c>
      <c r="N780" s="204" t="s">
        <v>2276</v>
      </c>
      <c r="O780" s="204" t="s">
        <v>2276</v>
      </c>
      <c r="P780" s="204" t="s">
        <v>2276</v>
      </c>
      <c r="Q780" s="204">
        <v>4</v>
      </c>
      <c r="R780" s="204" t="s">
        <v>2276</v>
      </c>
      <c r="S780" s="204" t="s">
        <v>2276</v>
      </c>
      <c r="T780" s="204" t="s">
        <v>2276</v>
      </c>
      <c r="U780" s="204" t="s">
        <v>2276</v>
      </c>
      <c r="V780" s="204" t="s">
        <v>2276</v>
      </c>
      <c r="W780" s="4" t="s">
        <v>8011</v>
      </c>
    </row>
    <row r="781" spans="1:23" ht="51" customHeight="1">
      <c r="A781" s="19" t="s">
        <v>8006</v>
      </c>
      <c r="B781" s="19" t="s">
        <v>8009</v>
      </c>
      <c r="C781" s="204" t="s">
        <v>24</v>
      </c>
      <c r="D781" s="204" t="s">
        <v>144</v>
      </c>
      <c r="E781" s="204" t="s">
        <v>137</v>
      </c>
      <c r="F781" s="4" t="s">
        <v>2662</v>
      </c>
      <c r="G781" s="204"/>
      <c r="H781" s="4" t="s">
        <v>2673</v>
      </c>
      <c r="I781" s="204" t="s">
        <v>2276</v>
      </c>
      <c r="J781" s="204" t="s">
        <v>2276</v>
      </c>
      <c r="K781" s="204" t="s">
        <v>2276</v>
      </c>
      <c r="L781" s="204" t="s">
        <v>2276</v>
      </c>
      <c r="M781" s="204" t="s">
        <v>2728</v>
      </c>
      <c r="N781" s="204" t="s">
        <v>2276</v>
      </c>
      <c r="O781" s="204" t="s">
        <v>2276</v>
      </c>
      <c r="P781" s="204" t="s">
        <v>2276</v>
      </c>
      <c r="Q781" s="204">
        <v>4</v>
      </c>
      <c r="R781" s="204" t="s">
        <v>2276</v>
      </c>
      <c r="S781" s="204" t="s">
        <v>2276</v>
      </c>
      <c r="T781" s="204" t="s">
        <v>2276</v>
      </c>
      <c r="U781" s="204" t="s">
        <v>2276</v>
      </c>
      <c r="V781" s="204" t="s">
        <v>2276</v>
      </c>
      <c r="W781" s="4" t="s">
        <v>8011</v>
      </c>
    </row>
    <row r="782" spans="1:23" ht="51" customHeight="1">
      <c r="A782" s="19" t="s">
        <v>8007</v>
      </c>
      <c r="B782" s="19" t="s">
        <v>8010</v>
      </c>
      <c r="C782" s="204" t="s">
        <v>24</v>
      </c>
      <c r="D782" s="204" t="s">
        <v>144</v>
      </c>
      <c r="E782" s="204" t="s">
        <v>137</v>
      </c>
      <c r="F782" s="4" t="s">
        <v>2662</v>
      </c>
      <c r="G782" s="204"/>
      <c r="H782" s="4" t="s">
        <v>2673</v>
      </c>
      <c r="I782" s="204" t="s">
        <v>2276</v>
      </c>
      <c r="J782" s="204" t="s">
        <v>2276</v>
      </c>
      <c r="K782" s="204" t="s">
        <v>2276</v>
      </c>
      <c r="L782" s="204" t="s">
        <v>2276</v>
      </c>
      <c r="M782" s="204" t="s">
        <v>2728</v>
      </c>
      <c r="N782" s="204" t="s">
        <v>2276</v>
      </c>
      <c r="O782" s="204" t="s">
        <v>2276</v>
      </c>
      <c r="P782" s="204" t="s">
        <v>2276</v>
      </c>
      <c r="Q782" s="204">
        <v>4</v>
      </c>
      <c r="R782" s="204" t="s">
        <v>2276</v>
      </c>
      <c r="S782" s="204" t="s">
        <v>2276</v>
      </c>
      <c r="T782" s="204" t="s">
        <v>2276</v>
      </c>
      <c r="U782" s="204" t="s">
        <v>2276</v>
      </c>
      <c r="V782" s="204" t="s">
        <v>2276</v>
      </c>
      <c r="W782" s="4" t="s">
        <v>8011</v>
      </c>
    </row>
    <row r="783" spans="1:23" ht="36.5" customHeight="1">
      <c r="A783" s="19" t="s">
        <v>8013</v>
      </c>
      <c r="B783" s="19" t="s">
        <v>8015</v>
      </c>
      <c r="C783" s="204" t="s">
        <v>24</v>
      </c>
      <c r="D783" s="204" t="s">
        <v>2804</v>
      </c>
      <c r="E783" s="204" t="s">
        <v>45</v>
      </c>
      <c r="F783" s="4" t="s">
        <v>2662</v>
      </c>
      <c r="G783" s="38"/>
      <c r="H783" s="168" t="s">
        <v>541</v>
      </c>
      <c r="I783" s="38" t="s">
        <v>2276</v>
      </c>
      <c r="J783" s="38" t="s">
        <v>2276</v>
      </c>
      <c r="K783" s="38" t="s">
        <v>2276</v>
      </c>
      <c r="L783" s="38" t="s">
        <v>2276</v>
      </c>
      <c r="M783" s="38" t="s">
        <v>2276</v>
      </c>
      <c r="N783" s="38" t="s">
        <v>2276</v>
      </c>
      <c r="O783" s="38" t="s">
        <v>2276</v>
      </c>
      <c r="P783" s="38" t="s">
        <v>2276</v>
      </c>
      <c r="Q783" s="38" t="s">
        <v>2276</v>
      </c>
      <c r="R783" t="s">
        <v>534</v>
      </c>
      <c r="S783" s="38" t="s">
        <v>2276</v>
      </c>
      <c r="T783" s="38" t="s">
        <v>2276</v>
      </c>
      <c r="U783" s="38" t="s">
        <v>2276</v>
      </c>
      <c r="V783" s="38">
        <v>1</v>
      </c>
      <c r="W783" s="168" t="s">
        <v>8017</v>
      </c>
    </row>
    <row r="784" spans="1:23" ht="32.5" customHeight="1">
      <c r="A784" s="19" t="s">
        <v>8019</v>
      </c>
      <c r="B784" s="19" t="s">
        <v>8023</v>
      </c>
      <c r="C784" s="204" t="s">
        <v>1105</v>
      </c>
      <c r="D784" s="204" t="s">
        <v>1105</v>
      </c>
      <c r="E784" s="204" t="s">
        <v>1105</v>
      </c>
      <c r="F784" s="4" t="s">
        <v>2662</v>
      </c>
      <c r="G784" s="52"/>
      <c r="H784" s="4" t="s">
        <v>541</v>
      </c>
      <c r="I784" s="224" t="s">
        <v>2276</v>
      </c>
      <c r="J784" s="38" t="s">
        <v>2276</v>
      </c>
      <c r="K784" s="38" t="s">
        <v>2276</v>
      </c>
      <c r="L784" s="38" t="s">
        <v>2276</v>
      </c>
      <c r="M784" s="38" t="s">
        <v>2276</v>
      </c>
      <c r="N784" s="38" t="s">
        <v>2276</v>
      </c>
      <c r="O784" s="38" t="s">
        <v>2276</v>
      </c>
      <c r="P784" s="38" t="s">
        <v>2276</v>
      </c>
      <c r="Q784" s="38" t="s">
        <v>2276</v>
      </c>
      <c r="R784" s="204" t="s">
        <v>534</v>
      </c>
      <c r="S784" s="204" t="s">
        <v>2276</v>
      </c>
      <c r="T784" s="204" t="s">
        <v>534</v>
      </c>
      <c r="U784" s="204" t="s">
        <v>2276</v>
      </c>
      <c r="V784" s="204">
        <v>4</v>
      </c>
      <c r="W784" s="204" t="s">
        <v>8028</v>
      </c>
    </row>
    <row r="785" spans="1:23" ht="33.5" customHeight="1">
      <c r="A785" s="19" t="s">
        <v>8020</v>
      </c>
      <c r="B785" s="19" t="s">
        <v>8024</v>
      </c>
      <c r="C785" s="204" t="s">
        <v>1105</v>
      </c>
      <c r="D785" s="204" t="s">
        <v>1105</v>
      </c>
      <c r="E785" s="4" t="s">
        <v>45</v>
      </c>
      <c r="F785" s="4" t="s">
        <v>2662</v>
      </c>
      <c r="G785" s="52"/>
      <c r="H785" s="4" t="s">
        <v>541</v>
      </c>
      <c r="I785" s="178" t="s">
        <v>2276</v>
      </c>
      <c r="J785" s="204" t="s">
        <v>2276</v>
      </c>
      <c r="K785" s="204" t="s">
        <v>2276</v>
      </c>
      <c r="L785" s="204" t="s">
        <v>2276</v>
      </c>
      <c r="M785" s="204" t="s">
        <v>2276</v>
      </c>
      <c r="N785" s="204" t="s">
        <v>2276</v>
      </c>
      <c r="O785" s="204" t="s">
        <v>2276</v>
      </c>
      <c r="P785" s="204" t="s">
        <v>2276</v>
      </c>
      <c r="Q785" s="204" t="s">
        <v>2276</v>
      </c>
      <c r="R785" s="204" t="s">
        <v>537</v>
      </c>
      <c r="S785" s="204" t="s">
        <v>2276</v>
      </c>
      <c r="T785" s="204" t="s">
        <v>2276</v>
      </c>
      <c r="U785" s="204" t="s">
        <v>2276</v>
      </c>
      <c r="V785" s="204" t="s">
        <v>2276</v>
      </c>
      <c r="W785" s="204"/>
    </row>
    <row r="786" spans="1:23" ht="70" customHeight="1">
      <c r="A786" s="19" t="s">
        <v>8038</v>
      </c>
      <c r="B786" s="19" t="s">
        <v>8041</v>
      </c>
      <c r="C786" s="204" t="s">
        <v>24</v>
      </c>
      <c r="D786" s="4" t="s">
        <v>2804</v>
      </c>
      <c r="E786" s="204" t="s">
        <v>1105</v>
      </c>
      <c r="F786" s="4" t="s">
        <v>2662</v>
      </c>
      <c r="G786" s="204"/>
      <c r="H786" s="4" t="s">
        <v>2673</v>
      </c>
      <c r="I786" s="204" t="s">
        <v>2276</v>
      </c>
      <c r="J786" s="204" t="s">
        <v>2276</v>
      </c>
      <c r="K786" s="204" t="s">
        <v>2276</v>
      </c>
      <c r="L786" s="204" t="s">
        <v>2276</v>
      </c>
      <c r="M786" s="204" t="s">
        <v>2728</v>
      </c>
      <c r="N786" s="204" t="s">
        <v>2276</v>
      </c>
      <c r="O786" s="204" t="s">
        <v>534</v>
      </c>
      <c r="P786" s="204" t="s">
        <v>534</v>
      </c>
      <c r="Q786" s="204">
        <v>4</v>
      </c>
      <c r="R786" s="204" t="s">
        <v>2276</v>
      </c>
      <c r="S786" s="204" t="s">
        <v>2276</v>
      </c>
      <c r="T786" s="204" t="s">
        <v>2276</v>
      </c>
      <c r="U786" s="204" t="s">
        <v>2276</v>
      </c>
      <c r="V786" s="204" t="s">
        <v>2276</v>
      </c>
      <c r="W786" s="19" t="s">
        <v>8048</v>
      </c>
    </row>
    <row r="787" spans="1:23" ht="70" customHeight="1">
      <c r="A787" s="19" t="s">
        <v>8040</v>
      </c>
      <c r="B787" s="19" t="s">
        <v>8042</v>
      </c>
      <c r="C787" s="204" t="s">
        <v>24</v>
      </c>
      <c r="D787" s="4" t="s">
        <v>2804</v>
      </c>
      <c r="E787" s="204" t="s">
        <v>1105</v>
      </c>
      <c r="F787" s="4" t="s">
        <v>2662</v>
      </c>
      <c r="G787" s="204"/>
      <c r="H787" s="4" t="s">
        <v>2673</v>
      </c>
      <c r="I787" s="204" t="s">
        <v>2276</v>
      </c>
      <c r="J787" s="204" t="s">
        <v>2276</v>
      </c>
      <c r="K787" s="204" t="s">
        <v>2276</v>
      </c>
      <c r="L787" s="204" t="s">
        <v>2276</v>
      </c>
      <c r="M787" s="204" t="s">
        <v>2728</v>
      </c>
      <c r="N787" s="204" t="s">
        <v>2276</v>
      </c>
      <c r="O787" s="204" t="s">
        <v>534</v>
      </c>
      <c r="P787" s="204" t="s">
        <v>534</v>
      </c>
      <c r="Q787" s="204">
        <v>4</v>
      </c>
      <c r="R787" s="204" t="s">
        <v>2276</v>
      </c>
      <c r="S787" s="204" t="s">
        <v>2276</v>
      </c>
      <c r="T787" s="204" t="s">
        <v>2276</v>
      </c>
      <c r="U787" s="204" t="s">
        <v>2276</v>
      </c>
      <c r="V787" s="204" t="s">
        <v>2276</v>
      </c>
      <c r="W787" s="19" t="s">
        <v>8048</v>
      </c>
    </row>
    <row r="788" spans="1:23" ht="137" customHeight="1">
      <c r="A788" s="19" t="s">
        <v>8056</v>
      </c>
      <c r="B788" s="19" t="s">
        <v>8057</v>
      </c>
      <c r="C788" s="204" t="s">
        <v>24</v>
      </c>
      <c r="D788" s="4" t="s">
        <v>143</v>
      </c>
      <c r="E788" s="204" t="s">
        <v>1105</v>
      </c>
      <c r="F788" s="4" t="s">
        <v>74</v>
      </c>
      <c r="G788" s="204"/>
      <c r="H788" s="4" t="s">
        <v>541</v>
      </c>
      <c r="I788" s="204" t="s">
        <v>2691</v>
      </c>
      <c r="J788" s="204" t="s">
        <v>534</v>
      </c>
      <c r="K788" s="204" t="s">
        <v>2276</v>
      </c>
      <c r="L788" s="204" t="s">
        <v>2276</v>
      </c>
      <c r="M788" s="204" t="s">
        <v>2669</v>
      </c>
      <c r="N788" s="204" t="s">
        <v>2276</v>
      </c>
      <c r="O788" s="204" t="s">
        <v>534</v>
      </c>
      <c r="P788" s="204" t="s">
        <v>2276</v>
      </c>
      <c r="Q788" s="204">
        <v>1</v>
      </c>
      <c r="R788" s="204" t="s">
        <v>2276</v>
      </c>
      <c r="S788" s="204" t="s">
        <v>2276</v>
      </c>
      <c r="T788" s="204" t="s">
        <v>2276</v>
      </c>
      <c r="U788" s="204" t="s">
        <v>2276</v>
      </c>
      <c r="V788" s="204" t="s">
        <v>2276</v>
      </c>
      <c r="W788" s="19" t="s">
        <v>8061</v>
      </c>
    </row>
    <row r="789" spans="1:23" ht="39" customHeight="1">
      <c r="A789" s="19" t="s">
        <v>8063</v>
      </c>
      <c r="B789" s="19" t="s">
        <v>8065</v>
      </c>
      <c r="C789" s="4" t="s">
        <v>24</v>
      </c>
      <c r="D789" s="4" t="s">
        <v>144</v>
      </c>
      <c r="E789" s="4" t="s">
        <v>137</v>
      </c>
      <c r="F789" s="4" t="s">
        <v>2662</v>
      </c>
      <c r="G789" s="204"/>
      <c r="H789" s="4" t="s">
        <v>541</v>
      </c>
      <c r="I789" s="204" t="s">
        <v>2691</v>
      </c>
      <c r="J789" s="204" t="s">
        <v>2276</v>
      </c>
      <c r="K789" s="204" t="s">
        <v>534</v>
      </c>
      <c r="L789" s="204" t="s">
        <v>2276</v>
      </c>
      <c r="M789" s="204" t="s">
        <v>2276</v>
      </c>
      <c r="N789" s="204" t="s">
        <v>2276</v>
      </c>
      <c r="O789" s="204" t="s">
        <v>2276</v>
      </c>
      <c r="P789" s="204" t="s">
        <v>2276</v>
      </c>
      <c r="Q789" s="204" t="s">
        <v>2276</v>
      </c>
      <c r="R789" s="204" t="s">
        <v>2276</v>
      </c>
      <c r="S789" s="204" t="s">
        <v>2276</v>
      </c>
      <c r="T789" s="204" t="s">
        <v>2276</v>
      </c>
      <c r="U789" s="204" t="s">
        <v>2276</v>
      </c>
      <c r="V789" s="204" t="s">
        <v>2276</v>
      </c>
      <c r="W789" s="4" t="s">
        <v>8067</v>
      </c>
    </row>
    <row r="790" spans="1:23" ht="66.5" customHeight="1">
      <c r="A790" s="19" t="s">
        <v>8063</v>
      </c>
      <c r="B790" s="19" t="s">
        <v>8066</v>
      </c>
      <c r="C790" s="4" t="s">
        <v>24</v>
      </c>
      <c r="D790" s="4" t="s">
        <v>1105</v>
      </c>
      <c r="E790" s="4" t="s">
        <v>1105</v>
      </c>
      <c r="F790" s="4" t="s">
        <v>2662</v>
      </c>
      <c r="G790" s="204"/>
      <c r="H790" s="4" t="s">
        <v>2673</v>
      </c>
      <c r="I790" s="204" t="s">
        <v>2690</v>
      </c>
      <c r="J790" s="204" t="s">
        <v>2276</v>
      </c>
      <c r="K790" s="204" t="s">
        <v>2276</v>
      </c>
      <c r="L790" s="204" t="s">
        <v>2276</v>
      </c>
      <c r="M790" s="204" t="s">
        <v>2728</v>
      </c>
      <c r="N790" s="204" t="s">
        <v>534</v>
      </c>
      <c r="O790" s="204" t="s">
        <v>2276</v>
      </c>
      <c r="P790" s="204" t="s">
        <v>534</v>
      </c>
      <c r="Q790" s="204">
        <v>4</v>
      </c>
      <c r="R790" s="204" t="s">
        <v>2276</v>
      </c>
      <c r="S790" s="204" t="s">
        <v>2276</v>
      </c>
      <c r="T790" s="204" t="s">
        <v>2276</v>
      </c>
      <c r="U790" s="204" t="s">
        <v>2276</v>
      </c>
      <c r="V790" s="204" t="s">
        <v>2276</v>
      </c>
      <c r="W790" s="4" t="s">
        <v>8068</v>
      </c>
    </row>
    <row r="791" spans="1:23" ht="39" customHeight="1">
      <c r="A791" s="19" t="s">
        <v>8069</v>
      </c>
      <c r="B791" s="19" t="s">
        <v>8072</v>
      </c>
      <c r="C791" s="204" t="s">
        <v>24</v>
      </c>
      <c r="D791" s="4" t="s">
        <v>1105</v>
      </c>
      <c r="E791" s="4" t="s">
        <v>45</v>
      </c>
      <c r="F791" s="4" t="s">
        <v>2662</v>
      </c>
      <c r="G791" s="204"/>
      <c r="H791" s="4" t="s">
        <v>541</v>
      </c>
      <c r="I791" s="204" t="s">
        <v>2690</v>
      </c>
      <c r="J791" s="204" t="s">
        <v>2276</v>
      </c>
      <c r="K791" s="204" t="s">
        <v>534</v>
      </c>
      <c r="L791" s="204" t="s">
        <v>2276</v>
      </c>
      <c r="M791" s="204" t="s">
        <v>2276</v>
      </c>
      <c r="N791" s="204" t="s">
        <v>2276</v>
      </c>
      <c r="O791" s="204" t="s">
        <v>2276</v>
      </c>
      <c r="P791" s="204" t="s">
        <v>2276</v>
      </c>
      <c r="Q791" s="204" t="s">
        <v>2276</v>
      </c>
      <c r="R791" s="204" t="s">
        <v>2276</v>
      </c>
      <c r="S791" s="204" t="s">
        <v>2276</v>
      </c>
      <c r="T791" s="204" t="s">
        <v>2276</v>
      </c>
      <c r="U791" s="204" t="s">
        <v>2276</v>
      </c>
      <c r="V791" s="204" t="s">
        <v>2276</v>
      </c>
      <c r="W791" s="4" t="s">
        <v>8074</v>
      </c>
    </row>
    <row r="792" spans="1:23" ht="42" customHeight="1">
      <c r="A792" s="19" t="s">
        <v>8069</v>
      </c>
      <c r="B792" s="19" t="s">
        <v>8073</v>
      </c>
      <c r="C792" s="204" t="s">
        <v>24</v>
      </c>
      <c r="D792" s="4" t="s">
        <v>1105</v>
      </c>
      <c r="E792" s="4" t="s">
        <v>2647</v>
      </c>
      <c r="F792" s="4" t="s">
        <v>2662</v>
      </c>
      <c r="G792" s="204"/>
      <c r="H792" s="4" t="s">
        <v>541</v>
      </c>
      <c r="I792" s="204" t="s">
        <v>2690</v>
      </c>
      <c r="J792" s="204" t="s">
        <v>2276</v>
      </c>
      <c r="K792" s="204" t="s">
        <v>534</v>
      </c>
      <c r="L792" s="204" t="s">
        <v>2276</v>
      </c>
      <c r="M792" s="204" t="s">
        <v>2276</v>
      </c>
      <c r="N792" s="204" t="s">
        <v>2276</v>
      </c>
      <c r="O792" s="204" t="s">
        <v>2276</v>
      </c>
      <c r="P792" s="204" t="s">
        <v>2276</v>
      </c>
      <c r="Q792" s="204" t="s">
        <v>2276</v>
      </c>
      <c r="R792" s="204" t="s">
        <v>2276</v>
      </c>
      <c r="S792" s="204" t="s">
        <v>2276</v>
      </c>
      <c r="T792" s="204" t="s">
        <v>2276</v>
      </c>
      <c r="U792" s="204" t="s">
        <v>2276</v>
      </c>
      <c r="V792" s="204" t="s">
        <v>2276</v>
      </c>
      <c r="W792" s="4" t="s">
        <v>8074</v>
      </c>
    </row>
    <row r="793" spans="1:23" ht="39" customHeight="1">
      <c r="A793" s="19" t="s">
        <v>8076</v>
      </c>
      <c r="B793" s="19" t="s">
        <v>8077</v>
      </c>
      <c r="C793" s="204" t="s">
        <v>24</v>
      </c>
      <c r="D793" s="4" t="s">
        <v>25</v>
      </c>
      <c r="E793" s="204" t="s">
        <v>45</v>
      </c>
      <c r="F793" s="4" t="s">
        <v>2662</v>
      </c>
      <c r="G793" s="204"/>
      <c r="H793" s="4" t="s">
        <v>541</v>
      </c>
      <c r="I793" s="204" t="s">
        <v>2276</v>
      </c>
      <c r="J793" s="204" t="s">
        <v>2276</v>
      </c>
      <c r="K793" s="204" t="s">
        <v>2276</v>
      </c>
      <c r="L793" s="204" t="s">
        <v>2276</v>
      </c>
      <c r="M793" s="204" t="s">
        <v>2728</v>
      </c>
      <c r="N793" s="204" t="s">
        <v>2276</v>
      </c>
      <c r="O793" s="204" t="s">
        <v>2276</v>
      </c>
      <c r="P793" s="204" t="s">
        <v>2276</v>
      </c>
      <c r="Q793" s="204">
        <v>4</v>
      </c>
      <c r="R793" s="204" t="s">
        <v>2276</v>
      </c>
      <c r="S793" s="204" t="s">
        <v>2276</v>
      </c>
      <c r="T793" s="204" t="s">
        <v>2276</v>
      </c>
      <c r="U793" s="204" t="s">
        <v>2276</v>
      </c>
      <c r="V793" s="204" t="s">
        <v>2276</v>
      </c>
      <c r="W793" s="19" t="s">
        <v>8078</v>
      </c>
    </row>
    <row r="794" spans="1:23" ht="45.5" customHeight="1">
      <c r="A794" s="19" t="s">
        <v>8076</v>
      </c>
      <c r="B794" s="19" t="s">
        <v>8079</v>
      </c>
      <c r="C794" s="204" t="s">
        <v>24</v>
      </c>
      <c r="D794" s="4" t="s">
        <v>25</v>
      </c>
      <c r="E794" s="4" t="s">
        <v>3855</v>
      </c>
      <c r="F794" s="4" t="s">
        <v>2662</v>
      </c>
      <c r="G794" s="204"/>
      <c r="H794" s="4" t="s">
        <v>541</v>
      </c>
      <c r="I794" s="204" t="s">
        <v>2276</v>
      </c>
      <c r="J794" s="204" t="s">
        <v>2276</v>
      </c>
      <c r="K794" s="204" t="s">
        <v>2276</v>
      </c>
      <c r="L794" s="204" t="s">
        <v>2276</v>
      </c>
      <c r="M794" s="204" t="s">
        <v>2728</v>
      </c>
      <c r="N794" s="204" t="s">
        <v>2276</v>
      </c>
      <c r="O794" s="204" t="s">
        <v>2276</v>
      </c>
      <c r="P794" s="204" t="s">
        <v>2276</v>
      </c>
      <c r="Q794" s="204">
        <v>5</v>
      </c>
      <c r="R794" s="204" t="s">
        <v>2276</v>
      </c>
      <c r="S794" s="204" t="s">
        <v>2276</v>
      </c>
      <c r="T794" s="204" t="s">
        <v>2276</v>
      </c>
      <c r="U794" s="204" t="s">
        <v>2276</v>
      </c>
      <c r="V794" s="204" t="s">
        <v>2276</v>
      </c>
      <c r="W794" s="19" t="s">
        <v>8078</v>
      </c>
    </row>
    <row r="795" spans="1:23" ht="56.5" customHeight="1">
      <c r="A795" s="19" t="s">
        <v>8104</v>
      </c>
      <c r="B795" s="19" t="s">
        <v>8108</v>
      </c>
      <c r="C795" s="204" t="s">
        <v>24</v>
      </c>
      <c r="D795" s="4" t="s">
        <v>2804</v>
      </c>
      <c r="E795" s="4" t="s">
        <v>45</v>
      </c>
      <c r="F795" s="4" t="s">
        <v>2662</v>
      </c>
      <c r="G795" s="204"/>
      <c r="H795" s="4" t="s">
        <v>541</v>
      </c>
      <c r="I795" s="204" t="s">
        <v>2276</v>
      </c>
      <c r="J795" s="204" t="s">
        <v>2276</v>
      </c>
      <c r="K795" s="204" t="s">
        <v>2276</v>
      </c>
      <c r="L795" s="204" t="s">
        <v>2276</v>
      </c>
      <c r="M795" s="204" t="s">
        <v>2276</v>
      </c>
      <c r="N795" s="204" t="s">
        <v>2276</v>
      </c>
      <c r="O795" s="204" t="s">
        <v>2276</v>
      </c>
      <c r="P795" s="204" t="s">
        <v>2276</v>
      </c>
      <c r="Q795" s="204" t="s">
        <v>2276</v>
      </c>
      <c r="R795" s="204" t="s">
        <v>534</v>
      </c>
      <c r="S795" s="204" t="s">
        <v>2276</v>
      </c>
      <c r="T795" s="204" t="s">
        <v>534</v>
      </c>
      <c r="U795" s="204" t="s">
        <v>2276</v>
      </c>
      <c r="V795" s="204">
        <v>1</v>
      </c>
      <c r="W795" s="19" t="s">
        <v>8112</v>
      </c>
    </row>
    <row r="796" spans="1:23" ht="30" customHeight="1">
      <c r="A796" s="19" t="s">
        <v>8115</v>
      </c>
      <c r="B796" s="19" t="s">
        <v>8125</v>
      </c>
      <c r="C796" s="4" t="s">
        <v>24</v>
      </c>
      <c r="D796" s="4" t="s">
        <v>2659</v>
      </c>
      <c r="E796" s="4" t="s">
        <v>396</v>
      </c>
      <c r="F796" s="204" t="s">
        <v>28</v>
      </c>
      <c r="G796" s="204"/>
      <c r="H796" s="4" t="s">
        <v>541</v>
      </c>
      <c r="I796" s="204" t="s">
        <v>2276</v>
      </c>
      <c r="J796" s="204" t="s">
        <v>2276</v>
      </c>
      <c r="K796" s="204" t="s">
        <v>2276</v>
      </c>
      <c r="L796" s="204" t="s">
        <v>2276</v>
      </c>
      <c r="M796" s="204" t="s">
        <v>2728</v>
      </c>
      <c r="N796" s="204" t="s">
        <v>2276</v>
      </c>
      <c r="O796" s="204" t="s">
        <v>2276</v>
      </c>
      <c r="P796" s="204" t="s">
        <v>2276</v>
      </c>
      <c r="Q796" s="204" t="s">
        <v>2276</v>
      </c>
      <c r="R796" s="204" t="s">
        <v>537</v>
      </c>
      <c r="S796" s="204" t="s">
        <v>2276</v>
      </c>
      <c r="T796" s="204" t="s">
        <v>2276</v>
      </c>
      <c r="U796" s="204" t="s">
        <v>2276</v>
      </c>
      <c r="V796" s="204" t="s">
        <v>2276</v>
      </c>
      <c r="W796" s="4" t="s">
        <v>8155</v>
      </c>
    </row>
    <row r="797" spans="1:23" ht="30" customHeight="1">
      <c r="A797" s="19" t="s">
        <v>8122</v>
      </c>
      <c r="B797" s="19" t="s">
        <v>8126</v>
      </c>
      <c r="C797" s="4" t="s">
        <v>24</v>
      </c>
      <c r="D797" s="4" t="s">
        <v>2659</v>
      </c>
      <c r="E797" s="4" t="s">
        <v>396</v>
      </c>
      <c r="F797" s="204" t="s">
        <v>28</v>
      </c>
      <c r="G797" s="204"/>
      <c r="H797" s="4" t="s">
        <v>541</v>
      </c>
      <c r="I797" s="204" t="s">
        <v>2276</v>
      </c>
      <c r="J797" s="204" t="s">
        <v>2276</v>
      </c>
      <c r="K797" s="204" t="s">
        <v>2276</v>
      </c>
      <c r="L797" s="204" t="s">
        <v>2276</v>
      </c>
      <c r="M797" s="204" t="s">
        <v>2728</v>
      </c>
      <c r="N797" s="204" t="s">
        <v>2276</v>
      </c>
      <c r="O797" s="204" t="s">
        <v>2276</v>
      </c>
      <c r="P797" s="204" t="s">
        <v>2276</v>
      </c>
      <c r="Q797" s="204" t="s">
        <v>2276</v>
      </c>
      <c r="R797" s="204" t="s">
        <v>537</v>
      </c>
      <c r="S797" s="204" t="s">
        <v>2276</v>
      </c>
      <c r="T797" s="204" t="s">
        <v>2276</v>
      </c>
      <c r="U797" s="204" t="s">
        <v>2276</v>
      </c>
      <c r="V797" s="204" t="s">
        <v>2276</v>
      </c>
      <c r="W797" s="4" t="s">
        <v>8155</v>
      </c>
    </row>
    <row r="798" spans="1:23" ht="30" customHeight="1">
      <c r="A798" s="19" t="s">
        <v>8123</v>
      </c>
      <c r="B798" s="19" t="s">
        <v>8127</v>
      </c>
      <c r="C798" s="4" t="s">
        <v>24</v>
      </c>
      <c r="D798" s="4" t="s">
        <v>2659</v>
      </c>
      <c r="E798" s="4" t="s">
        <v>396</v>
      </c>
      <c r="F798" s="204" t="s">
        <v>28</v>
      </c>
      <c r="G798" s="204"/>
      <c r="H798" s="4" t="s">
        <v>541</v>
      </c>
      <c r="I798" s="204" t="s">
        <v>2276</v>
      </c>
      <c r="J798" s="204" t="s">
        <v>2276</v>
      </c>
      <c r="K798" s="204" t="s">
        <v>2276</v>
      </c>
      <c r="L798" s="204" t="s">
        <v>2276</v>
      </c>
      <c r="M798" s="204" t="s">
        <v>2728</v>
      </c>
      <c r="N798" s="204" t="s">
        <v>2276</v>
      </c>
      <c r="O798" s="204" t="s">
        <v>2276</v>
      </c>
      <c r="P798" s="204" t="s">
        <v>2276</v>
      </c>
      <c r="Q798" s="204" t="s">
        <v>2276</v>
      </c>
      <c r="R798" s="204" t="s">
        <v>537</v>
      </c>
      <c r="S798" s="204" t="s">
        <v>2276</v>
      </c>
      <c r="T798" s="204" t="s">
        <v>2276</v>
      </c>
      <c r="U798" s="204" t="s">
        <v>2276</v>
      </c>
      <c r="V798" s="204" t="s">
        <v>2276</v>
      </c>
      <c r="W798" s="4" t="s">
        <v>8155</v>
      </c>
    </row>
    <row r="799" spans="1:23" ht="30" customHeight="1">
      <c r="A799" s="19" t="s">
        <v>8124</v>
      </c>
      <c r="B799" s="19" t="s">
        <v>8128</v>
      </c>
      <c r="C799" s="4" t="s">
        <v>24</v>
      </c>
      <c r="D799" s="4" t="s">
        <v>2659</v>
      </c>
      <c r="E799" s="4" t="s">
        <v>396</v>
      </c>
      <c r="F799" s="204" t="s">
        <v>28</v>
      </c>
      <c r="G799" s="204"/>
      <c r="H799" s="4" t="s">
        <v>541</v>
      </c>
      <c r="I799" s="204" t="s">
        <v>2276</v>
      </c>
      <c r="J799" s="204" t="s">
        <v>2276</v>
      </c>
      <c r="K799" s="204" t="s">
        <v>2276</v>
      </c>
      <c r="L799" s="204" t="s">
        <v>2276</v>
      </c>
      <c r="M799" s="204" t="s">
        <v>2728</v>
      </c>
      <c r="N799" s="204" t="s">
        <v>2276</v>
      </c>
      <c r="O799" s="204" t="s">
        <v>2276</v>
      </c>
      <c r="P799" s="204" t="s">
        <v>2276</v>
      </c>
      <c r="Q799" s="204" t="s">
        <v>2276</v>
      </c>
      <c r="R799" s="204" t="s">
        <v>537</v>
      </c>
      <c r="S799" s="204" t="s">
        <v>2276</v>
      </c>
      <c r="T799" s="204" t="s">
        <v>2276</v>
      </c>
      <c r="U799" s="204" t="s">
        <v>2276</v>
      </c>
      <c r="V799" s="204" t="s">
        <v>2276</v>
      </c>
      <c r="W799" s="4" t="s">
        <v>8155</v>
      </c>
    </row>
    <row r="800" spans="1:23" ht="28" customHeight="1">
      <c r="A800" s="19" t="s">
        <v>8115</v>
      </c>
      <c r="B800" s="19" t="s">
        <v>8129</v>
      </c>
      <c r="C800" s="4" t="s">
        <v>24</v>
      </c>
      <c r="D800" s="204" t="s">
        <v>1105</v>
      </c>
      <c r="E800" s="204" t="s">
        <v>1105</v>
      </c>
      <c r="F800" s="204" t="s">
        <v>74</v>
      </c>
      <c r="G800" s="204"/>
      <c r="H800" s="4" t="s">
        <v>541</v>
      </c>
      <c r="I800" s="204" t="s">
        <v>2276</v>
      </c>
      <c r="J800" s="204" t="s">
        <v>2276</v>
      </c>
      <c r="K800" s="204" t="s">
        <v>2276</v>
      </c>
      <c r="L800" s="204" t="s">
        <v>2276</v>
      </c>
      <c r="M800" s="204" t="s">
        <v>2276</v>
      </c>
      <c r="N800" s="204" t="s">
        <v>2276</v>
      </c>
      <c r="O800" s="204" t="s">
        <v>2276</v>
      </c>
      <c r="P800" s="204" t="s">
        <v>2276</v>
      </c>
      <c r="Q800" s="204" t="s">
        <v>2276</v>
      </c>
      <c r="R800" s="204" t="s">
        <v>534</v>
      </c>
      <c r="S800" s="204" t="s">
        <v>2276</v>
      </c>
      <c r="T800" s="204" t="s">
        <v>2276</v>
      </c>
      <c r="U800" s="204" t="s">
        <v>2276</v>
      </c>
      <c r="V800" s="204">
        <v>1</v>
      </c>
      <c r="W800" s="204" t="s">
        <v>8156</v>
      </c>
    </row>
    <row r="801" spans="1:23" ht="28" customHeight="1">
      <c r="A801" s="19" t="s">
        <v>8122</v>
      </c>
      <c r="B801" s="19" t="s">
        <v>8137</v>
      </c>
      <c r="C801" s="4" t="s">
        <v>24</v>
      </c>
      <c r="D801" s="204" t="s">
        <v>1105</v>
      </c>
      <c r="E801" s="204" t="s">
        <v>1105</v>
      </c>
      <c r="F801" s="204" t="s">
        <v>74</v>
      </c>
      <c r="G801" s="204"/>
      <c r="H801" s="4" t="s">
        <v>541</v>
      </c>
      <c r="I801" s="204" t="s">
        <v>2276</v>
      </c>
      <c r="J801" s="204" t="s">
        <v>2276</v>
      </c>
      <c r="K801" s="204" t="s">
        <v>2276</v>
      </c>
      <c r="L801" s="204" t="s">
        <v>2276</v>
      </c>
      <c r="M801" s="204" t="s">
        <v>2276</v>
      </c>
      <c r="N801" s="204" t="s">
        <v>2276</v>
      </c>
      <c r="O801" s="204" t="s">
        <v>2276</v>
      </c>
      <c r="P801" s="204" t="s">
        <v>2276</v>
      </c>
      <c r="Q801" s="204" t="s">
        <v>2276</v>
      </c>
      <c r="R801" s="204" t="s">
        <v>534</v>
      </c>
      <c r="S801" s="204" t="s">
        <v>2276</v>
      </c>
      <c r="T801" s="204" t="s">
        <v>2276</v>
      </c>
      <c r="U801" s="204" t="s">
        <v>2276</v>
      </c>
      <c r="V801" s="204">
        <v>1</v>
      </c>
      <c r="W801" s="204" t="s">
        <v>8156</v>
      </c>
    </row>
    <row r="802" spans="1:23" ht="28" customHeight="1">
      <c r="A802" s="19" t="s">
        <v>8123</v>
      </c>
      <c r="B802" s="19" t="s">
        <v>8142</v>
      </c>
      <c r="C802" s="4" t="s">
        <v>24</v>
      </c>
      <c r="D802" s="204" t="s">
        <v>1105</v>
      </c>
      <c r="E802" s="204" t="s">
        <v>1105</v>
      </c>
      <c r="F802" s="204" t="s">
        <v>74</v>
      </c>
      <c r="G802" s="204"/>
      <c r="H802" s="4" t="s">
        <v>541</v>
      </c>
      <c r="I802" s="204" t="s">
        <v>2276</v>
      </c>
      <c r="J802" s="204" t="s">
        <v>2276</v>
      </c>
      <c r="K802" s="204" t="s">
        <v>2276</v>
      </c>
      <c r="L802" s="204" t="s">
        <v>2276</v>
      </c>
      <c r="M802" s="204" t="s">
        <v>2276</v>
      </c>
      <c r="N802" s="204" t="s">
        <v>2276</v>
      </c>
      <c r="O802" s="204" t="s">
        <v>2276</v>
      </c>
      <c r="P802" s="204" t="s">
        <v>2276</v>
      </c>
      <c r="Q802" s="204" t="s">
        <v>2276</v>
      </c>
      <c r="R802" s="204" t="s">
        <v>534</v>
      </c>
      <c r="S802" s="204" t="s">
        <v>2276</v>
      </c>
      <c r="T802" s="204" t="s">
        <v>2276</v>
      </c>
      <c r="U802" s="204" t="s">
        <v>2276</v>
      </c>
      <c r="V802" s="204">
        <v>1</v>
      </c>
      <c r="W802" s="204" t="s">
        <v>8156</v>
      </c>
    </row>
    <row r="803" spans="1:23" ht="28" customHeight="1">
      <c r="A803" s="19" t="s">
        <v>8124</v>
      </c>
      <c r="B803" s="19" t="s">
        <v>8148</v>
      </c>
      <c r="C803" s="4" t="s">
        <v>24</v>
      </c>
      <c r="D803" s="204" t="s">
        <v>1105</v>
      </c>
      <c r="E803" s="204" t="s">
        <v>1105</v>
      </c>
      <c r="F803" s="204" t="s">
        <v>74</v>
      </c>
      <c r="G803" s="204"/>
      <c r="H803" s="4" t="s">
        <v>541</v>
      </c>
      <c r="I803" s="204" t="s">
        <v>2276</v>
      </c>
      <c r="J803" s="204" t="s">
        <v>2276</v>
      </c>
      <c r="K803" s="204" t="s">
        <v>2276</v>
      </c>
      <c r="L803" s="204" t="s">
        <v>2276</v>
      </c>
      <c r="M803" s="204" t="s">
        <v>2276</v>
      </c>
      <c r="N803" s="204" t="s">
        <v>2276</v>
      </c>
      <c r="O803" s="204" t="s">
        <v>2276</v>
      </c>
      <c r="P803" s="204" t="s">
        <v>2276</v>
      </c>
      <c r="Q803" s="204" t="s">
        <v>2276</v>
      </c>
      <c r="R803" s="204" t="s">
        <v>534</v>
      </c>
      <c r="S803" s="204" t="s">
        <v>2276</v>
      </c>
      <c r="T803" s="204" t="s">
        <v>2276</v>
      </c>
      <c r="U803" s="204" t="s">
        <v>2276</v>
      </c>
      <c r="V803" s="204">
        <v>1</v>
      </c>
      <c r="W803" s="204" t="s">
        <v>8156</v>
      </c>
    </row>
    <row r="804" spans="1:23" ht="33.5" customHeight="1">
      <c r="A804" s="19" t="s">
        <v>8167</v>
      </c>
      <c r="B804" s="19" t="s">
        <v>8171</v>
      </c>
      <c r="C804" s="4" t="s">
        <v>24</v>
      </c>
      <c r="D804" s="4" t="s">
        <v>1105</v>
      </c>
      <c r="E804" s="4" t="s">
        <v>1105</v>
      </c>
      <c r="F804" s="4" t="s">
        <v>2662</v>
      </c>
      <c r="G804" s="204"/>
      <c r="H804" s="4" t="s">
        <v>2673</v>
      </c>
      <c r="I804" s="204" t="s">
        <v>2276</v>
      </c>
      <c r="J804" s="204" t="s">
        <v>2276</v>
      </c>
      <c r="K804" s="204" t="s">
        <v>2276</v>
      </c>
      <c r="L804" s="204" t="s">
        <v>2276</v>
      </c>
      <c r="M804" s="204" t="s">
        <v>2670</v>
      </c>
      <c r="N804" s="204" t="s">
        <v>2276</v>
      </c>
      <c r="O804" s="204" t="s">
        <v>2276</v>
      </c>
      <c r="P804" s="204" t="s">
        <v>2276</v>
      </c>
      <c r="Q804" s="204" t="s">
        <v>2276</v>
      </c>
      <c r="R804" s="204" t="s">
        <v>2276</v>
      </c>
      <c r="S804" s="204" t="s">
        <v>2276</v>
      </c>
      <c r="T804" s="204" t="s">
        <v>2276</v>
      </c>
      <c r="U804" s="204" t="s">
        <v>2276</v>
      </c>
      <c r="V804" s="204" t="s">
        <v>2276</v>
      </c>
      <c r="W804" s="4" t="s">
        <v>8189</v>
      </c>
    </row>
    <row r="805" spans="1:23" ht="33.5" customHeight="1">
      <c r="A805" s="19" t="s">
        <v>8168</v>
      </c>
      <c r="B805" s="19" t="s">
        <v>8181</v>
      </c>
      <c r="C805" s="4" t="s">
        <v>24</v>
      </c>
      <c r="D805" s="4" t="s">
        <v>1105</v>
      </c>
      <c r="E805" s="4" t="s">
        <v>1105</v>
      </c>
      <c r="F805" s="4" t="s">
        <v>2662</v>
      </c>
      <c r="G805" s="204"/>
      <c r="H805" s="4" t="s">
        <v>2673</v>
      </c>
      <c r="I805" s="204" t="s">
        <v>2276</v>
      </c>
      <c r="J805" s="204" t="s">
        <v>2276</v>
      </c>
      <c r="K805" s="204" t="s">
        <v>2276</v>
      </c>
      <c r="L805" s="204" t="s">
        <v>2276</v>
      </c>
      <c r="M805" s="204" t="s">
        <v>2670</v>
      </c>
      <c r="N805" s="204" t="s">
        <v>2276</v>
      </c>
      <c r="O805" s="204" t="s">
        <v>2276</v>
      </c>
      <c r="P805" s="204" t="s">
        <v>2276</v>
      </c>
      <c r="Q805" s="204" t="s">
        <v>2276</v>
      </c>
      <c r="R805" s="204" t="s">
        <v>2276</v>
      </c>
      <c r="S805" s="204" t="s">
        <v>2276</v>
      </c>
      <c r="T805" s="204" t="s">
        <v>2276</v>
      </c>
      <c r="U805" s="204" t="s">
        <v>2276</v>
      </c>
      <c r="V805" s="204" t="s">
        <v>2276</v>
      </c>
      <c r="W805" s="4" t="s">
        <v>8189</v>
      </c>
    </row>
    <row r="806" spans="1:23" ht="37" customHeight="1">
      <c r="A806" s="19" t="s">
        <v>8191</v>
      </c>
      <c r="B806" s="19" t="s">
        <v>8194</v>
      </c>
      <c r="C806" s="4" t="s">
        <v>24</v>
      </c>
      <c r="D806" s="4" t="s">
        <v>1242</v>
      </c>
      <c r="E806" s="4" t="s">
        <v>137</v>
      </c>
      <c r="F806" s="4" t="s">
        <v>2662</v>
      </c>
      <c r="G806" s="204"/>
      <c r="H806" s="4" t="s">
        <v>2673</v>
      </c>
      <c r="I806" s="204" t="s">
        <v>2691</v>
      </c>
      <c r="J806" s="204" t="s">
        <v>534</v>
      </c>
      <c r="K806" s="204" t="s">
        <v>534</v>
      </c>
      <c r="L806" s="204" t="s">
        <v>2276</v>
      </c>
      <c r="M806" s="204" t="s">
        <v>2276</v>
      </c>
      <c r="N806" s="204" t="s">
        <v>2276</v>
      </c>
      <c r="O806" s="204" t="s">
        <v>2276</v>
      </c>
      <c r="P806" s="204" t="s">
        <v>2276</v>
      </c>
      <c r="Q806" s="204" t="s">
        <v>2276</v>
      </c>
      <c r="R806" s="204" t="s">
        <v>537</v>
      </c>
      <c r="S806" s="204" t="s">
        <v>537</v>
      </c>
      <c r="T806" s="204" t="s">
        <v>537</v>
      </c>
      <c r="U806" s="204" t="s">
        <v>537</v>
      </c>
      <c r="V806" s="204" t="s">
        <v>2276</v>
      </c>
      <c r="W806" s="11" t="s">
        <v>8200</v>
      </c>
    </row>
    <row r="807" spans="1:23" ht="38" customHeight="1">
      <c r="A807" s="19" t="s">
        <v>8271</v>
      </c>
      <c r="B807" s="19" t="s">
        <v>8275</v>
      </c>
      <c r="C807" s="4" t="s">
        <v>24</v>
      </c>
      <c r="D807" s="204" t="s">
        <v>1245</v>
      </c>
      <c r="E807" s="204" t="s">
        <v>116</v>
      </c>
      <c r="F807" s="204" t="s">
        <v>74</v>
      </c>
      <c r="G807" s="204"/>
      <c r="H807" s="4" t="s">
        <v>2673</v>
      </c>
      <c r="I807" s="204" t="s">
        <v>2276</v>
      </c>
      <c r="J807" s="204" t="s">
        <v>2276</v>
      </c>
      <c r="K807" s="204" t="s">
        <v>2276</v>
      </c>
      <c r="L807" s="204" t="s">
        <v>2276</v>
      </c>
      <c r="M807" s="204" t="s">
        <v>2276</v>
      </c>
      <c r="N807" s="204" t="s">
        <v>2276</v>
      </c>
      <c r="O807" s="204" t="s">
        <v>2276</v>
      </c>
      <c r="P807" s="204" t="s">
        <v>2276</v>
      </c>
      <c r="Q807" s="204" t="s">
        <v>2276</v>
      </c>
      <c r="R807" s="204" t="s">
        <v>534</v>
      </c>
      <c r="S807" s="204" t="s">
        <v>2276</v>
      </c>
      <c r="T807" s="204" t="s">
        <v>2276</v>
      </c>
      <c r="U807" s="204" t="s">
        <v>2276</v>
      </c>
      <c r="V807" s="204">
        <v>4</v>
      </c>
      <c r="W807" s="19" t="s">
        <v>8281</v>
      </c>
    </row>
    <row r="808" spans="1:23" ht="64.5" customHeight="1">
      <c r="A808" s="19" t="s">
        <v>8286</v>
      </c>
      <c r="B808" s="19" t="s">
        <v>8290</v>
      </c>
      <c r="C808" s="4" t="s">
        <v>24</v>
      </c>
      <c r="D808" s="4" t="s">
        <v>1242</v>
      </c>
      <c r="E808" s="204" t="s">
        <v>116</v>
      </c>
      <c r="F808" s="4" t="s">
        <v>2662</v>
      </c>
      <c r="G808" s="204"/>
      <c r="H808" s="4" t="s">
        <v>2673</v>
      </c>
      <c r="I808" s="204" t="s">
        <v>2691</v>
      </c>
      <c r="J808" s="204" t="s">
        <v>2276</v>
      </c>
      <c r="K808" s="204" t="s">
        <v>534</v>
      </c>
      <c r="L808" s="204" t="s">
        <v>2276</v>
      </c>
      <c r="M808" s="204" t="s">
        <v>2728</v>
      </c>
      <c r="N808" s="204" t="s">
        <v>534</v>
      </c>
      <c r="O808" s="204" t="s">
        <v>2276</v>
      </c>
      <c r="P808" s="204" t="s">
        <v>534</v>
      </c>
      <c r="Q808" s="204">
        <v>4</v>
      </c>
      <c r="R808" s="204" t="s">
        <v>2276</v>
      </c>
      <c r="S808" s="204" t="s">
        <v>2276</v>
      </c>
      <c r="T808" s="204" t="s">
        <v>2276</v>
      </c>
      <c r="U808" s="204" t="s">
        <v>2276</v>
      </c>
      <c r="V808" s="204" t="s">
        <v>2276</v>
      </c>
      <c r="W808" s="19" t="s">
        <v>8297</v>
      </c>
    </row>
    <row r="809" spans="1:23" ht="58" customHeight="1">
      <c r="A809" s="19" t="s">
        <v>8299</v>
      </c>
      <c r="B809" s="19" t="s">
        <v>8301</v>
      </c>
      <c r="C809" s="4" t="s">
        <v>24</v>
      </c>
      <c r="D809" s="204" t="s">
        <v>1245</v>
      </c>
      <c r="E809" s="204" t="s">
        <v>116</v>
      </c>
      <c r="F809" s="4" t="s">
        <v>2662</v>
      </c>
      <c r="G809" s="204"/>
      <c r="H809" s="4" t="s">
        <v>2673</v>
      </c>
      <c r="I809" s="204" t="s">
        <v>2276</v>
      </c>
      <c r="J809" s="204" t="s">
        <v>2276</v>
      </c>
      <c r="K809" s="204" t="s">
        <v>2276</v>
      </c>
      <c r="L809" s="204" t="s">
        <v>2276</v>
      </c>
      <c r="M809" s="204" t="s">
        <v>2669</v>
      </c>
      <c r="N809" s="204" t="s">
        <v>534</v>
      </c>
      <c r="O809" s="204" t="s">
        <v>2276</v>
      </c>
      <c r="P809" s="204" t="s">
        <v>534</v>
      </c>
      <c r="Q809" s="204">
        <v>4</v>
      </c>
      <c r="R809" s="204" t="s">
        <v>2276</v>
      </c>
      <c r="S809" s="204" t="s">
        <v>2276</v>
      </c>
      <c r="T809" s="204" t="s">
        <v>2276</v>
      </c>
      <c r="U809" s="204" t="s">
        <v>2276</v>
      </c>
      <c r="V809" s="204" t="s">
        <v>2276</v>
      </c>
      <c r="W809" s="19" t="s">
        <v>8304</v>
      </c>
    </row>
    <row r="810" spans="1:23" ht="43.5">
      <c r="A810" s="19" t="s">
        <v>8314</v>
      </c>
      <c r="B810" s="19" t="s">
        <v>8325</v>
      </c>
      <c r="C810" s="4" t="s">
        <v>24</v>
      </c>
      <c r="D810" s="204" t="s">
        <v>1105</v>
      </c>
      <c r="E810" s="4" t="s">
        <v>3854</v>
      </c>
      <c r="F810" s="204" t="s">
        <v>2276</v>
      </c>
      <c r="G810" s="204"/>
      <c r="H810" s="4" t="s">
        <v>2673</v>
      </c>
      <c r="I810" s="204" t="s">
        <v>2276</v>
      </c>
      <c r="J810" s="204" t="s">
        <v>2276</v>
      </c>
      <c r="K810" s="204" t="s">
        <v>2276</v>
      </c>
      <c r="L810" s="204" t="s">
        <v>2276</v>
      </c>
      <c r="M810" s="204" t="s">
        <v>2276</v>
      </c>
      <c r="N810" s="204" t="s">
        <v>2276</v>
      </c>
      <c r="O810" s="204" t="s">
        <v>2276</v>
      </c>
      <c r="P810" s="204" t="s">
        <v>2276</v>
      </c>
      <c r="Q810" s="204" t="s">
        <v>2276</v>
      </c>
      <c r="R810" s="204" t="s">
        <v>534</v>
      </c>
      <c r="S810" s="204" t="s">
        <v>2276</v>
      </c>
      <c r="T810" s="204" t="s">
        <v>2276</v>
      </c>
      <c r="U810" s="204" t="s">
        <v>2276</v>
      </c>
      <c r="V810" s="204">
        <v>2</v>
      </c>
      <c r="W810" s="19" t="s">
        <v>8353</v>
      </c>
    </row>
    <row r="811" spans="1:23" ht="43.5">
      <c r="A811" s="19" t="s">
        <v>8315</v>
      </c>
      <c r="B811" s="19" t="s">
        <v>8330</v>
      </c>
      <c r="C811" s="4" t="s">
        <v>24</v>
      </c>
      <c r="D811" s="204" t="s">
        <v>1105</v>
      </c>
      <c r="E811" s="4" t="s">
        <v>3854</v>
      </c>
      <c r="F811" s="204" t="s">
        <v>2276</v>
      </c>
      <c r="G811" s="204"/>
      <c r="H811" s="4" t="s">
        <v>2673</v>
      </c>
      <c r="I811" s="204" t="s">
        <v>2276</v>
      </c>
      <c r="J811" s="204" t="s">
        <v>2276</v>
      </c>
      <c r="K811" s="204" t="s">
        <v>2276</v>
      </c>
      <c r="L811" s="204" t="s">
        <v>2276</v>
      </c>
      <c r="M811" s="204" t="s">
        <v>2276</v>
      </c>
      <c r="N811" s="204" t="s">
        <v>2276</v>
      </c>
      <c r="O811" s="204" t="s">
        <v>2276</v>
      </c>
      <c r="P811" s="204" t="s">
        <v>2276</v>
      </c>
      <c r="Q811" s="204" t="s">
        <v>2276</v>
      </c>
      <c r="R811" s="204" t="s">
        <v>534</v>
      </c>
      <c r="S811" s="204" t="s">
        <v>2276</v>
      </c>
      <c r="T811" s="204" t="s">
        <v>2276</v>
      </c>
      <c r="U811" s="204" t="s">
        <v>2276</v>
      </c>
      <c r="V811" s="204">
        <v>2</v>
      </c>
      <c r="W811" s="19" t="s">
        <v>8353</v>
      </c>
    </row>
    <row r="812" spans="1:23" ht="43.5">
      <c r="A812" s="19" t="s">
        <v>8318</v>
      </c>
      <c r="B812" s="19" t="s">
        <v>8336</v>
      </c>
      <c r="C812" s="4" t="s">
        <v>24</v>
      </c>
      <c r="D812" s="204" t="s">
        <v>1105</v>
      </c>
      <c r="E812" s="4" t="s">
        <v>3854</v>
      </c>
      <c r="F812" s="204" t="s">
        <v>2276</v>
      </c>
      <c r="G812" s="204"/>
      <c r="H812" s="4" t="s">
        <v>2673</v>
      </c>
      <c r="I812" s="204" t="s">
        <v>2276</v>
      </c>
      <c r="J812" s="204" t="s">
        <v>2276</v>
      </c>
      <c r="K812" s="204" t="s">
        <v>2276</v>
      </c>
      <c r="L812" s="204" t="s">
        <v>2276</v>
      </c>
      <c r="M812" s="204" t="s">
        <v>2276</v>
      </c>
      <c r="N812" s="204" t="s">
        <v>2276</v>
      </c>
      <c r="O812" s="204" t="s">
        <v>2276</v>
      </c>
      <c r="P812" s="204" t="s">
        <v>2276</v>
      </c>
      <c r="Q812" s="204" t="s">
        <v>2276</v>
      </c>
      <c r="R812" s="204" t="s">
        <v>534</v>
      </c>
      <c r="S812" s="204" t="s">
        <v>2276</v>
      </c>
      <c r="T812" s="204" t="s">
        <v>2276</v>
      </c>
      <c r="U812" s="204" t="s">
        <v>2276</v>
      </c>
      <c r="V812" s="204">
        <v>2</v>
      </c>
      <c r="W812" s="19" t="s">
        <v>8353</v>
      </c>
    </row>
    <row r="813" spans="1:23" ht="43.5">
      <c r="A813" s="19" t="s">
        <v>8319</v>
      </c>
      <c r="B813" s="19" t="s">
        <v>8345</v>
      </c>
      <c r="C813" s="4" t="s">
        <v>24</v>
      </c>
      <c r="D813" s="204" t="s">
        <v>1105</v>
      </c>
      <c r="E813" s="4" t="s">
        <v>3854</v>
      </c>
      <c r="F813" s="204" t="s">
        <v>2276</v>
      </c>
      <c r="G813" s="204"/>
      <c r="H813" s="4" t="s">
        <v>2673</v>
      </c>
      <c r="I813" s="204" t="s">
        <v>2276</v>
      </c>
      <c r="J813" s="204" t="s">
        <v>2276</v>
      </c>
      <c r="K813" s="204" t="s">
        <v>2276</v>
      </c>
      <c r="L813" s="204" t="s">
        <v>2276</v>
      </c>
      <c r="M813" s="204" t="s">
        <v>2276</v>
      </c>
      <c r="N813" s="204" t="s">
        <v>2276</v>
      </c>
      <c r="O813" s="204" t="s">
        <v>2276</v>
      </c>
      <c r="P813" s="204" t="s">
        <v>2276</v>
      </c>
      <c r="Q813" s="204" t="s">
        <v>2276</v>
      </c>
      <c r="R813" s="204" t="s">
        <v>534</v>
      </c>
      <c r="S813" s="204" t="s">
        <v>2276</v>
      </c>
      <c r="T813" s="204" t="s">
        <v>2276</v>
      </c>
      <c r="U813" s="204" t="s">
        <v>2276</v>
      </c>
      <c r="V813" s="204">
        <v>2</v>
      </c>
      <c r="W813" s="19" t="s">
        <v>8353</v>
      </c>
    </row>
    <row r="814" spans="1:23" ht="41" customHeight="1">
      <c r="A814" s="19" t="s">
        <v>8415</v>
      </c>
      <c r="B814" s="19" t="s">
        <v>8417</v>
      </c>
      <c r="C814" s="4" t="s">
        <v>24</v>
      </c>
      <c r="D814" s="204" t="s">
        <v>2659</v>
      </c>
      <c r="E814" s="204" t="s">
        <v>2276</v>
      </c>
      <c r="F814" s="204" t="s">
        <v>28</v>
      </c>
      <c r="G814" s="204"/>
      <c r="H814" s="4" t="s">
        <v>541</v>
      </c>
      <c r="I814" s="204" t="s">
        <v>2276</v>
      </c>
      <c r="J814" s="204" t="s">
        <v>2276</v>
      </c>
      <c r="K814" s="204" t="s">
        <v>2276</v>
      </c>
      <c r="L814" s="204" t="s">
        <v>2276</v>
      </c>
      <c r="M814" s="204" t="s">
        <v>2276</v>
      </c>
      <c r="N814" s="204" t="s">
        <v>2276</v>
      </c>
      <c r="O814" s="204" t="s">
        <v>2276</v>
      </c>
      <c r="P814" s="204" t="s">
        <v>2276</v>
      </c>
      <c r="Q814" s="204" t="s">
        <v>2276</v>
      </c>
      <c r="R814" s="204" t="s">
        <v>537</v>
      </c>
      <c r="S814" s="204" t="s">
        <v>537</v>
      </c>
      <c r="T814" s="204" t="s">
        <v>537</v>
      </c>
      <c r="U814" s="204" t="s">
        <v>537</v>
      </c>
      <c r="V814" s="204" t="s">
        <v>2276</v>
      </c>
      <c r="W814" s="204"/>
    </row>
    <row r="815" spans="1:23" ht="47.5" customHeight="1">
      <c r="A815" s="19" t="s">
        <v>8415</v>
      </c>
      <c r="B815" s="19" t="s">
        <v>8418</v>
      </c>
      <c r="C815" s="4" t="s">
        <v>24</v>
      </c>
      <c r="D815" s="204" t="s">
        <v>2659</v>
      </c>
      <c r="E815" s="204" t="s">
        <v>2276</v>
      </c>
      <c r="F815" s="204" t="s">
        <v>28</v>
      </c>
      <c r="G815" s="204"/>
      <c r="H815" s="4" t="s">
        <v>541</v>
      </c>
      <c r="I815" s="204" t="s">
        <v>2276</v>
      </c>
      <c r="J815" s="204" t="s">
        <v>2276</v>
      </c>
      <c r="K815" s="204" t="s">
        <v>2276</v>
      </c>
      <c r="L815" s="204" t="s">
        <v>2276</v>
      </c>
      <c r="M815" s="204" t="s">
        <v>2276</v>
      </c>
      <c r="N815" s="204" t="s">
        <v>2276</v>
      </c>
      <c r="O815" s="204" t="s">
        <v>2276</v>
      </c>
      <c r="P815" s="204" t="s">
        <v>2276</v>
      </c>
      <c r="Q815" s="204" t="s">
        <v>2276</v>
      </c>
      <c r="R815" s="204" t="s">
        <v>534</v>
      </c>
      <c r="S815" s="204" t="s">
        <v>2276</v>
      </c>
      <c r="T815" s="204" t="s">
        <v>2276</v>
      </c>
      <c r="U815" s="204" t="s">
        <v>2276</v>
      </c>
      <c r="V815" s="204">
        <v>4</v>
      </c>
      <c r="W815" s="4" t="s">
        <v>8419</v>
      </c>
    </row>
    <row r="816" spans="1:23" ht="37" customHeight="1">
      <c r="A816" s="19" t="s">
        <v>8424</v>
      </c>
      <c r="B816" s="19" t="s">
        <v>8427</v>
      </c>
      <c r="C816" s="204" t="s">
        <v>24</v>
      </c>
      <c r="D816" s="204" t="s">
        <v>2659</v>
      </c>
      <c r="E816" s="204" t="s">
        <v>2276</v>
      </c>
      <c r="F816" s="204" t="s">
        <v>28</v>
      </c>
      <c r="G816" s="204">
        <v>1992</v>
      </c>
      <c r="H816" s="4" t="s">
        <v>2673</v>
      </c>
      <c r="I816" s="204" t="s">
        <v>2276</v>
      </c>
      <c r="J816" s="204" t="s">
        <v>2276</v>
      </c>
      <c r="K816" s="204" t="s">
        <v>2276</v>
      </c>
      <c r="L816" s="204" t="s">
        <v>2276</v>
      </c>
      <c r="M816" s="204" t="s">
        <v>2671</v>
      </c>
      <c r="N816" s="204" t="s">
        <v>2276</v>
      </c>
      <c r="O816" s="204" t="s">
        <v>2276</v>
      </c>
      <c r="P816" s="204" t="s">
        <v>534</v>
      </c>
      <c r="Q816" s="204">
        <v>4</v>
      </c>
      <c r="R816" s="204" t="s">
        <v>537</v>
      </c>
      <c r="S816" s="204" t="s">
        <v>537</v>
      </c>
      <c r="T816" s="204" t="s">
        <v>537</v>
      </c>
      <c r="U816" s="204" t="s">
        <v>537</v>
      </c>
      <c r="V816" s="204" t="s">
        <v>2276</v>
      </c>
      <c r="W816" s="19" t="s">
        <v>8422</v>
      </c>
    </row>
    <row r="817" spans="1:23" ht="38" customHeight="1">
      <c r="A817" s="19" t="s">
        <v>8424</v>
      </c>
      <c r="B817" s="19" t="s">
        <v>8428</v>
      </c>
      <c r="C817" s="204" t="s">
        <v>24</v>
      </c>
      <c r="D817" s="204" t="s">
        <v>2659</v>
      </c>
      <c r="E817" s="204" t="s">
        <v>2276</v>
      </c>
      <c r="F817" s="204" t="s">
        <v>28</v>
      </c>
      <c r="G817" s="204">
        <v>1980</v>
      </c>
      <c r="H817" s="4" t="s">
        <v>2673</v>
      </c>
      <c r="I817" s="204" t="s">
        <v>2276</v>
      </c>
      <c r="J817" s="204" t="s">
        <v>2276</v>
      </c>
      <c r="K817" s="204" t="s">
        <v>2276</v>
      </c>
      <c r="L817" s="204" t="s">
        <v>2276</v>
      </c>
      <c r="M817" s="204" t="s">
        <v>537</v>
      </c>
      <c r="N817" s="204" t="s">
        <v>537</v>
      </c>
      <c r="O817" s="204" t="s">
        <v>537</v>
      </c>
      <c r="P817" s="204" t="s">
        <v>537</v>
      </c>
      <c r="Q817" s="204">
        <v>4</v>
      </c>
      <c r="R817" s="204" t="s">
        <v>537</v>
      </c>
      <c r="S817" s="204" t="s">
        <v>537</v>
      </c>
      <c r="T817" s="204" t="s">
        <v>537</v>
      </c>
      <c r="U817" s="204" t="s">
        <v>537</v>
      </c>
      <c r="V817" s="204" t="s">
        <v>2276</v>
      </c>
      <c r="W817" s="19"/>
    </row>
    <row r="818" spans="1:23" ht="45.5" customHeight="1">
      <c r="A818" s="204" t="s">
        <v>8420</v>
      </c>
      <c r="B818" s="204" t="s">
        <v>8421</v>
      </c>
      <c r="C818" s="204" t="s">
        <v>24</v>
      </c>
      <c r="D818" s="204" t="s">
        <v>2659</v>
      </c>
      <c r="E818" s="204" t="s">
        <v>2276</v>
      </c>
      <c r="F818" s="204" t="s">
        <v>28</v>
      </c>
      <c r="G818" s="204"/>
      <c r="H818" s="4" t="s">
        <v>2673</v>
      </c>
      <c r="I818" s="204" t="s">
        <v>2276</v>
      </c>
      <c r="J818" s="204" t="s">
        <v>2276</v>
      </c>
      <c r="K818" s="204" t="s">
        <v>2276</v>
      </c>
      <c r="L818" s="204" t="s">
        <v>2276</v>
      </c>
      <c r="M818" s="204" t="s">
        <v>2671</v>
      </c>
      <c r="N818" s="204" t="s">
        <v>2276</v>
      </c>
      <c r="O818" s="204" t="s">
        <v>2276</v>
      </c>
      <c r="P818" s="204" t="s">
        <v>534</v>
      </c>
      <c r="Q818" s="204" t="s">
        <v>2276</v>
      </c>
      <c r="R818" s="204" t="s">
        <v>2276</v>
      </c>
      <c r="S818" s="204" t="s">
        <v>2276</v>
      </c>
      <c r="T818" s="204" t="s">
        <v>2276</v>
      </c>
      <c r="U818" s="204" t="s">
        <v>2276</v>
      </c>
      <c r="V818" s="204" t="s">
        <v>2276</v>
      </c>
      <c r="W818" s="19"/>
    </row>
    <row r="819" spans="1:23" ht="75.5" customHeight="1">
      <c r="A819" s="204" t="s">
        <v>8433</v>
      </c>
      <c r="B819" s="204" t="s">
        <v>8435</v>
      </c>
      <c r="C819" s="204" t="s">
        <v>24</v>
      </c>
      <c r="D819" s="204" t="s">
        <v>2659</v>
      </c>
      <c r="E819" s="204" t="s">
        <v>2276</v>
      </c>
      <c r="F819" s="204" t="s">
        <v>28</v>
      </c>
      <c r="G819" s="204"/>
      <c r="H819" s="4" t="s">
        <v>541</v>
      </c>
      <c r="I819" s="204" t="s">
        <v>2690</v>
      </c>
      <c r="J819" s="204" t="s">
        <v>2276</v>
      </c>
      <c r="K819" s="204" t="s">
        <v>534</v>
      </c>
      <c r="L819" s="204" t="s">
        <v>2276</v>
      </c>
      <c r="M819" s="204" t="s">
        <v>2276</v>
      </c>
      <c r="N819" s="204" t="s">
        <v>2276</v>
      </c>
      <c r="O819" s="204" t="s">
        <v>2276</v>
      </c>
      <c r="P819" s="204" t="s">
        <v>2276</v>
      </c>
      <c r="Q819" s="204" t="s">
        <v>2276</v>
      </c>
      <c r="R819" s="204" t="s">
        <v>2276</v>
      </c>
      <c r="S819" s="204" t="s">
        <v>2276</v>
      </c>
      <c r="T819" s="204" t="s">
        <v>2276</v>
      </c>
      <c r="U819" s="204" t="s">
        <v>2276</v>
      </c>
      <c r="V819" s="204" t="s">
        <v>2276</v>
      </c>
      <c r="W819" s="19" t="s">
        <v>8436</v>
      </c>
    </row>
    <row r="820" spans="1:23">
      <c r="A820" s="204"/>
      <c r="B820" s="204"/>
      <c r="C820" s="204"/>
      <c r="D820" s="204"/>
      <c r="E820" s="204"/>
      <c r="F820" s="204"/>
      <c r="G820" s="204"/>
      <c r="H820" s="4"/>
      <c r="I820" s="204"/>
      <c r="J820" s="204"/>
      <c r="K820" s="204"/>
      <c r="L820" s="204"/>
      <c r="M820" s="204"/>
      <c r="N820" s="204"/>
      <c r="O820" s="204"/>
      <c r="P820" s="204"/>
      <c r="Q820" s="204"/>
      <c r="R820" s="204"/>
      <c r="S820" s="204"/>
      <c r="T820" s="204"/>
      <c r="U820" s="204"/>
      <c r="V820" s="204"/>
      <c r="W820" s="19"/>
    </row>
  </sheetData>
  <autoFilter ref="A1:A775"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914" yWindow="394"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37:B743 A680:A684 A703:B704 A606:A678 A711:B713 B636:B637 A737:A761 B780:B782 A776:A795 B804:B806 B810:B815 A804: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05:B706 B634:B635 B744:B761 B776:B779 B784:B795 B807:B809 B816: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07:B710 A714:B736 A762:B775" xr:uid="{9B49D527-4568-45EF-ACB7-88D850410F7C}"/>
    <dataValidation allowBlank="1" showInputMessage="1" showErrorMessage="1" prompt="Case study ID + .1, .2 etc for each direct fire creation PCB associated with the case study" sqref="B373:B381 B468:B471 B527:B530 B545:B546 B557:B560 B579:B580 B602:B605 B630 B632:B633 B783 B685:B702" xr:uid="{7687EF30-3597-4A79-9EE7-28C1CA362F13}"/>
    <dataValidation type="whole" allowBlank="1" showInputMessage="1" showErrorMessage="1" prompt="Blank if refers to all study years" sqref="G1:G526 G606:G617 G531:G601 G707:G1048576 G631:G704" xr:uid="{A7CD2C9D-7B72-4BC4-B631-CD1DBB9E2AB6}">
      <formula1>1900</formula1>
      <formula2>2020</formula2>
    </dataValidation>
    <dataValidation allowBlank="1" showInputMessage="1" showErrorMessage="1" prompt="The same as Case study ID in Record Info_x000a_" sqref="A532:A536 A796:B803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14" yWindow="394"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R744:V745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N744:P745 V747:V755 K747:K751 R746:U748 L749:U751 K752:U755 J747:J755 V761:V774 R758:V759 R756:U757 O758:O759 J765:L765 J770:L770 N545:V546 J545:L546 S760:U774 U778:U779 R760:R779 J788 T784 R783:R785 P786:P787 K789 O786:O788 N790 P790 K791:K792 T795 R795:R803 S806:U806 J806:K806 S814:U814 R806:R807 P808:P809 N808:N809 K808 N820:P1048576 P816 L821:L1048576 R810:R817 S816:U817 J820:J1048576 K819:K1048576 P818 R820:U1048576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Q744:Q745 V746 V756:V757 V760 Q758:Q761 V777:V779 Q780:Q782 V821:V1048576 V783:V784 Q786:Q788 Q790 Q793:Q794 V795 V800:V803 V807 Q808:Q809 V810:V813 V815 Q816:Q817 Q820:Q1048576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M744:M745 M747:M748 M545:M547 M758:M774 M780:M782 M786:M788 M790 M793:M794 M796:M799 M804:M805 M808:M809 N817:P817 M816:M818 M820:M1048576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C748:C779 E784 C784:D785 E786:E788 E790 D790:D792 C789:C1048576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F744:F755 F758:F783 F789:F794 F796:F809 F814:F1048576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J745:L745 I744:L744 N747:Q748 J746:Q746 L747:L748 P758:P785 J756:Q757 N758:N789 O760:O785 Q762:Q779 J758:L764 J766:L769 J771:L774 I545:I546 S777:U777 S775:V776 S778:T779 J775:M779 R780:V782 J780:L782 Q783:Q785 S783:U783 V785:V794 S784:S805 U784:U805 T785:T794 J783:M785 J789 J786:L787 R786:R794 K788:L788 P788:P789 I790:L790 L789:M789 I745:I789 Q789 O789:O816 P791:Q792 J791:J805 L791:N792 P793:P807 K793:L794 N793:N807 Q795:Q807 K795:M795 V796:V799 K796:L799 T796:T805 K800:M803 S807:U807 K804:L805 R804:R805 V804:V806 L806:M806 R808:V809 J807:M807 J808:J819 K809:K818 V814 S810:U813 S815:U815 P810:Q815 M810:N815 Q818:V818 N816 I791:I1048576 N818:O818 V816:V817 L808:L820 V819:V820 M819:U819</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C780:C783 C786:C788</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F756:F757 F545:F546 F784:F788 F795 F810:F813</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E744:E746 D749:D752 E749:E755 E758:E761 D545:E556 E707:E708 E711 E772:E774 E778:E779 E789 E793:E794 E796:E799 E806:E809 E814:E1048576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E744:E746 E749:E755 E758:E761 E545 E707:E708 E711 D546 E772:E779 D742:D783 D786:D789 E789 D793:E794 D795 D796:E809 D810:D813 D814:E1048576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H744:H745 H1:H678 H749:H1048576</xm:sqref>
        </x14:dataValidation>
        <x14:dataValidation type="list" allowBlank="1" showInputMessage="1" showErrorMessage="1" xr:uid="{D1FCC99B-F560-425B-BFB0-C7277F7F06BE}">
          <x14:formula1>
            <xm:f>'IGNORE Lookups'!$C$23:$C$45</xm:f>
          </x14:formula1>
          <xm:sqref>E625:E629 E632:E633 E637 E639 E641 E643:E678 E747:E748 E756:E757 E762:E771 E780:E783 E785 E791:E792 E795 E810:E813</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H707:L713 I714:L741 D707:D708 D710:D741 N705:Q713 R709:V713 S705:V708 R741:S743 O716:Q737 P738:V738 O739:Q743 R737:V737 O715:V715 T714:V714 T716:V736 T739:V743 R717:S717 R719:S720 R722:S723 R725:S725 R727:S727 R729:S729 R731:S731 R733:S733 R735:S735 K742:N742 L743:N743 M739:N740 M736:N736 M734:N734 M732:N732 M730:N730 M728:N728 M726:N726 M724:N724 M721:N721 M718:N718 M714:Q714 C679:F704 N679:V704 M679:M702 I679:L706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F708 C711:C747 F741 E742:F743 E712:E741 R707:R708 O738 R714:S714 R736:S736 R739:S740 R716:S716 R718:S718 R721:S721 R724:S724 R726:S726 R728:S728 R730:S730 R732:S732 R734:S734 K743 I742:J743 M741:N741 M737:N738 M735:N735 M733:N733 M731:N731 M729:N729 M727:N727 M725:N725 M722:N723 M719:N720 M706:M713 M715:N717 M703:M704</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H746:H748 H714:H743</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C705:F706 F709:F740 R705:R706 M705</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H705:H706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E709:E710 E712:E737</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C707:C710</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topLeftCell="A3" zoomScale="55" zoomScaleNormal="55" workbookViewId="0">
      <selection activeCell="B16" sqref="B16"/>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6802</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2276</v>
      </c>
      <c r="F42" s="135" t="s">
        <v>2385</v>
      </c>
      <c r="G42" s="135"/>
      <c r="H42" s="135"/>
    </row>
    <row r="43" spans="1:10">
      <c r="C43" s="3" t="s">
        <v>137</v>
      </c>
      <c r="E43" s="121"/>
      <c r="F43" s="122" t="s">
        <v>2386</v>
      </c>
      <c r="G43" s="135"/>
      <c r="H43" s="135"/>
    </row>
    <row r="44" spans="1:10" ht="15" thickBot="1">
      <c r="C44" s="145" t="s">
        <v>3209</v>
      </c>
      <c r="E44" s="124"/>
      <c r="F44" s="141" t="s">
        <v>2276</v>
      </c>
      <c r="G44" s="125"/>
      <c r="H44" s="125"/>
    </row>
    <row r="45" spans="1:10">
      <c r="C45" s="130" t="s">
        <v>5801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2020-08-24T17:40:38Z</dcterms:modified>
</cp:coreProperties>
</file>